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BOS-RO\2017 Session\SavingsStrategies\"/>
    </mc:Choice>
  </mc:AlternateContent>
  <bookViews>
    <workbookView xWindow="360" yWindow="15" windowWidth="11340" windowHeight="6540" tabRatio="601"/>
  </bookViews>
  <sheets>
    <sheet name="WTA" sheetId="1" r:id="rId1"/>
    <sheet name="Instructions" sheetId="3" r:id="rId2"/>
    <sheet name="Assumptions" sheetId="4" r:id="rId3"/>
    <sheet name="Rates" sheetId="2" state="hidden" r:id="rId4"/>
  </sheets>
  <definedNames>
    <definedName name="Age">Rates!$C$16:$C$17</definedName>
    <definedName name="Carrier">Rates!$B$6:$B$10</definedName>
    <definedName name="Coverage">Rates!$C$5:$F$5</definedName>
    <definedName name="_xlnm.Print_Titles" localSheetId="0">WTA!$A:$B,WTA!$1:$4</definedName>
    <definedName name="VESTED">Rates!$D$16:$D$17</definedName>
    <definedName name="VSDP">Rates!$B$16:$B$17</definedName>
  </definedNames>
  <calcPr calcId="162913"/>
</workbook>
</file>

<file path=xl/calcChain.xml><?xml version="1.0" encoding="utf-8"?>
<calcChain xmlns="http://schemas.openxmlformats.org/spreadsheetml/2006/main">
  <c r="B14" i="4" l="1"/>
  <c r="A21" i="4"/>
  <c r="S5" i="1"/>
  <c r="AQ5" i="1"/>
  <c r="T5" i="1"/>
  <c r="U5" i="1"/>
  <c r="V5" i="1" s="1"/>
  <c r="Y5" i="1"/>
  <c r="D16" i="4"/>
  <c r="D15" i="4"/>
  <c r="D14" i="4"/>
  <c r="B16" i="4"/>
  <c r="C16" i="4"/>
  <c r="C15" i="4"/>
  <c r="C14" i="4"/>
  <c r="B17" i="4"/>
  <c r="B15" i="4"/>
  <c r="W5" i="1"/>
  <c r="X5" i="1"/>
  <c r="Y22" i="1"/>
  <c r="Y21" i="1"/>
  <c r="Y20" i="1"/>
  <c r="Y19" i="1"/>
  <c r="Y18" i="1"/>
  <c r="Y17" i="1"/>
  <c r="Y16" i="1"/>
  <c r="Y15" i="1"/>
  <c r="Y14" i="1"/>
  <c r="Y13" i="1"/>
  <c r="Y12" i="1"/>
  <c r="Y11" i="1"/>
  <c r="Y10" i="1"/>
  <c r="Y9" i="1"/>
  <c r="Y8" i="1"/>
  <c r="Y7" i="1"/>
  <c r="Y6" i="1"/>
  <c r="Q5" i="1"/>
  <c r="R5" i="1"/>
  <c r="AH5" i="1"/>
  <c r="T6" i="1"/>
  <c r="U6" i="1"/>
  <c r="V6" i="1" s="1"/>
  <c r="AV6" i="1" s="1"/>
  <c r="Q6" i="1"/>
  <c r="R6" i="1"/>
  <c r="AG6" i="1" s="1"/>
  <c r="S6" i="1"/>
  <c r="AH6" i="1"/>
  <c r="T7" i="1"/>
  <c r="U7" i="1" s="1"/>
  <c r="V7" i="1" s="1"/>
  <c r="AV7" i="1" s="1"/>
  <c r="Q7" i="1"/>
  <c r="R7" i="1"/>
  <c r="AD7" i="1" s="1"/>
  <c r="S7" i="1"/>
  <c r="T8" i="1"/>
  <c r="U8" i="1" s="1"/>
  <c r="V8" i="1" s="1"/>
  <c r="AV8" i="1" s="1"/>
  <c r="Q8" i="1"/>
  <c r="R8" i="1"/>
  <c r="AG8" i="1" s="1"/>
  <c r="S8" i="1"/>
  <c r="AH8" i="1" s="1"/>
  <c r="T9" i="1"/>
  <c r="U9" i="1" s="1"/>
  <c r="V9" i="1" s="1"/>
  <c r="AV9" i="1" s="1"/>
  <c r="Q9" i="1"/>
  <c r="R9" i="1"/>
  <c r="Z9" i="1"/>
  <c r="AB9" i="1" s="1"/>
  <c r="S9" i="1"/>
  <c r="AA9" i="1"/>
  <c r="AD9" i="1"/>
  <c r="AF9" i="1"/>
  <c r="AH9" i="1"/>
  <c r="T10" i="1"/>
  <c r="U10" i="1" s="1"/>
  <c r="V10" i="1" s="1"/>
  <c r="Q10" i="1"/>
  <c r="R10" i="1"/>
  <c r="AD10" i="1" s="1"/>
  <c r="S10" i="1"/>
  <c r="AH10" i="1" s="1"/>
  <c r="T11" i="1"/>
  <c r="U11" i="1" s="1"/>
  <c r="V11" i="1" s="1"/>
  <c r="Q11" i="1"/>
  <c r="R11" i="1"/>
  <c r="S11" i="1"/>
  <c r="AD11" i="1"/>
  <c r="T12" i="1"/>
  <c r="U12" i="1" s="1"/>
  <c r="V12" i="1" s="1"/>
  <c r="AV12" i="1" s="1"/>
  <c r="Q12" i="1"/>
  <c r="R12" i="1"/>
  <c r="S12" i="1"/>
  <c r="AA12" i="1" s="1"/>
  <c r="T13" i="1"/>
  <c r="U13" i="1"/>
  <c r="V13" i="1" s="1"/>
  <c r="Q13" i="1"/>
  <c r="R13" i="1"/>
  <c r="AF13" i="1" s="1"/>
  <c r="S13" i="1"/>
  <c r="AH13" i="1"/>
  <c r="T14" i="1"/>
  <c r="U14" i="1" s="1"/>
  <c r="Q14" i="1"/>
  <c r="R14" i="1"/>
  <c r="S14" i="1"/>
  <c r="AQ14" i="1" s="1"/>
  <c r="AP14" i="1" s="1"/>
  <c r="AS14" i="1" s="1"/>
  <c r="AD14" i="1"/>
  <c r="T15" i="1"/>
  <c r="U15" i="1"/>
  <c r="V15" i="1" s="1"/>
  <c r="AV15" i="1" s="1"/>
  <c r="Q15" i="1"/>
  <c r="R15" i="1"/>
  <c r="S15" i="1"/>
  <c r="AD15" i="1"/>
  <c r="T16" i="1"/>
  <c r="U16" i="1" s="1"/>
  <c r="Q16" i="1"/>
  <c r="R16" i="1"/>
  <c r="S16" i="1"/>
  <c r="AD16" i="1"/>
  <c r="T17" i="1"/>
  <c r="U17" i="1" s="1"/>
  <c r="Q17" i="1"/>
  <c r="R17" i="1"/>
  <c r="Z17" i="1" s="1"/>
  <c r="S17" i="1"/>
  <c r="AA17" i="1" s="1"/>
  <c r="AD17" i="1"/>
  <c r="AH17" i="1"/>
  <c r="T18" i="1"/>
  <c r="U18" i="1" s="1"/>
  <c r="V18" i="1"/>
  <c r="Q18" i="1"/>
  <c r="R18" i="1"/>
  <c r="S18" i="1"/>
  <c r="AH18" i="1" s="1"/>
  <c r="AD18" i="1"/>
  <c r="T19" i="1"/>
  <c r="U19" i="1"/>
  <c r="Q19" i="1"/>
  <c r="R19" i="1"/>
  <c r="AE19" i="1" s="1"/>
  <c r="S19" i="1"/>
  <c r="AQ19" i="1" s="1"/>
  <c r="AP19" i="1" s="1"/>
  <c r="T20" i="1"/>
  <c r="U20" i="1" s="1"/>
  <c r="V20" i="1"/>
  <c r="Q20" i="1"/>
  <c r="R20" i="1"/>
  <c r="AD20" i="1" s="1"/>
  <c r="S20" i="1"/>
  <c r="AH20" i="1" s="1"/>
  <c r="T21" i="1"/>
  <c r="U21" i="1" s="1"/>
  <c r="V21" i="1" s="1"/>
  <c r="Q21" i="1"/>
  <c r="R21" i="1"/>
  <c r="S21" i="1"/>
  <c r="T22" i="1"/>
  <c r="U22" i="1" s="1"/>
  <c r="V22" i="1" s="1"/>
  <c r="AV22" i="1" s="1"/>
  <c r="Q22" i="1"/>
  <c r="R22" i="1"/>
  <c r="AG22" i="1" s="1"/>
  <c r="S22" i="1"/>
  <c r="AA22" i="1" s="1"/>
  <c r="W22" i="1"/>
  <c r="W21" i="1"/>
  <c r="W20" i="1"/>
  <c r="W19" i="1"/>
  <c r="W18" i="1"/>
  <c r="W17" i="1"/>
  <c r="W16" i="1"/>
  <c r="W15" i="1"/>
  <c r="W14" i="1"/>
  <c r="W13" i="1"/>
  <c r="W12" i="1"/>
  <c r="W11" i="1"/>
  <c r="W10" i="1"/>
  <c r="W9" i="1"/>
  <c r="W8" i="1"/>
  <c r="W7" i="1"/>
  <c r="W6" i="1"/>
  <c r="AQ17" i="1"/>
  <c r="AP17" i="1" s="1"/>
  <c r="AS17" i="1" s="1"/>
  <c r="AQ13" i="1"/>
  <c r="AP13" i="1" s="1"/>
  <c r="AS13" i="1" s="1"/>
  <c r="AQ9" i="1"/>
  <c r="AP9" i="1"/>
  <c r="AS9" i="1" s="1"/>
  <c r="AQ7" i="1"/>
  <c r="AP7" i="1" s="1"/>
  <c r="AS7" i="1" s="1"/>
  <c r="AQ6" i="1"/>
  <c r="AP6" i="1"/>
  <c r="AR6" i="1" s="1"/>
  <c r="X22" i="1"/>
  <c r="X21" i="1"/>
  <c r="X20" i="1"/>
  <c r="X19" i="1"/>
  <c r="X18" i="1"/>
  <c r="X17" i="1"/>
  <c r="X16" i="1"/>
  <c r="X15" i="1"/>
  <c r="X14" i="1"/>
  <c r="X13" i="1"/>
  <c r="X12" i="1"/>
  <c r="X11" i="1"/>
  <c r="X10" i="1"/>
  <c r="X9" i="1"/>
  <c r="X8" i="1"/>
  <c r="X7" i="1"/>
  <c r="X6" i="1"/>
  <c r="AQ8" i="1"/>
  <c r="AP8" i="1" s="1"/>
  <c r="AS8" i="1" s="1"/>
  <c r="AQ10" i="1"/>
  <c r="AP10" i="1" s="1"/>
  <c r="AR10" i="1" s="1"/>
  <c r="AQ20" i="1"/>
  <c r="AP20" i="1" s="1"/>
  <c r="AS20" i="1" s="1"/>
  <c r="AG21" i="1"/>
  <c r="AE20" i="1"/>
  <c r="AC19" i="1"/>
  <c r="AG17" i="1"/>
  <c r="AC17" i="1"/>
  <c r="AE16" i="1"/>
  <c r="AE15" i="1"/>
  <c r="AC13" i="1"/>
  <c r="AG12" i="1"/>
  <c r="AE12" i="1"/>
  <c r="AE11" i="1"/>
  <c r="AG10" i="1"/>
  <c r="AC10" i="1"/>
  <c r="AG9" i="1"/>
  <c r="AE9" i="1"/>
  <c r="AC9" i="1"/>
  <c r="AC8" i="1"/>
  <c r="AE7" i="1"/>
  <c r="AC6" i="1"/>
  <c r="AV18" i="1"/>
  <c r="AF20" i="1"/>
  <c r="AF16" i="1"/>
  <c r="AD12" i="1"/>
  <c r="AD19" i="1"/>
  <c r="Z18" i="1"/>
  <c r="V17" i="1"/>
  <c r="AV17" i="1" s="1"/>
  <c r="Z15" i="1"/>
  <c r="AF15" i="1"/>
  <c r="AG15" i="1"/>
  <c r="AG14" i="1"/>
  <c r="Z12" i="1"/>
  <c r="AB12" i="1" s="1"/>
  <c r="AF12" i="1"/>
  <c r="AH22" i="1"/>
  <c r="Z21" i="1"/>
  <c r="AD21" i="1"/>
  <c r="Z20" i="1"/>
  <c r="AG20" i="1"/>
  <c r="AC18" i="1"/>
  <c r="AA15" i="1"/>
  <c r="Z10" i="1"/>
  <c r="AF8" i="1"/>
  <c r="AV13" i="1"/>
  <c r="AB17" i="1" l="1"/>
  <c r="AH14" i="1"/>
  <c r="AJ22" i="1"/>
  <c r="AA14" i="1"/>
  <c r="AQ18" i="1"/>
  <c r="AP18" i="1" s="1"/>
  <c r="AR18" i="1" s="1"/>
  <c r="AE8" i="1"/>
  <c r="AC12" i="1"/>
  <c r="AE13" i="1"/>
  <c r="AG19" i="1"/>
  <c r="AQ12" i="1"/>
  <c r="AP12" i="1" s="1"/>
  <c r="AR12" i="1" s="1"/>
  <c r="AJ7" i="1"/>
  <c r="AF19" i="1"/>
  <c r="V19" i="1"/>
  <c r="AV19" i="1" s="1"/>
  <c r="AA13" i="1"/>
  <c r="AA6" i="1"/>
  <c r="Z19" i="1"/>
  <c r="AQ22" i="1"/>
  <c r="AP22" i="1" s="1"/>
  <c r="AR22" i="1" s="1"/>
  <c r="Z8" i="1"/>
  <c r="AB15" i="1"/>
  <c r="AE22" i="1"/>
  <c r="AD8" i="1"/>
  <c r="AC14" i="1"/>
  <c r="AE17" i="1"/>
  <c r="AK17" i="1" s="1"/>
  <c r="AL17" i="1" s="1"/>
  <c r="AC22" i="1"/>
  <c r="AF17" i="1"/>
  <c r="V16" i="1"/>
  <c r="V14" i="1"/>
  <c r="AA8" i="1"/>
  <c r="AJ9" i="1"/>
  <c r="AM9" i="1" s="1"/>
  <c r="AK9" i="1"/>
  <c r="AL9" i="1" s="1"/>
  <c r="AJ12" i="1"/>
  <c r="AR7" i="1"/>
  <c r="AS22" i="1"/>
  <c r="AT22" i="1" s="1"/>
  <c r="AS10" i="1"/>
  <c r="AT10" i="1" s="1"/>
  <c r="AJ19" i="1"/>
  <c r="AR14" i="1"/>
  <c r="AT14" i="1" s="1"/>
  <c r="AJ18" i="1"/>
  <c r="AS18" i="1"/>
  <c r="AT18" i="1" s="1"/>
  <c r="AJ13" i="1"/>
  <c r="AR17" i="1"/>
  <c r="AS19" i="1"/>
  <c r="AR19" i="1"/>
  <c r="AJ16" i="1"/>
  <c r="AV16" i="1"/>
  <c r="AJ14" i="1"/>
  <c r="AV14" i="1"/>
  <c r="AV21" i="1"/>
  <c r="AJ21" i="1"/>
  <c r="AV10" i="1"/>
  <c r="AJ10" i="1"/>
  <c r="AH16" i="1"/>
  <c r="AQ16" i="1"/>
  <c r="AP16" i="1" s="1"/>
  <c r="AA16" i="1"/>
  <c r="AC16" i="1"/>
  <c r="AH11" i="1"/>
  <c r="AA11" i="1"/>
  <c r="AC11" i="1"/>
  <c r="AG5" i="1"/>
  <c r="AD5" i="1"/>
  <c r="Z5" i="1"/>
  <c r="AE5" i="1"/>
  <c r="AS6" i="1"/>
  <c r="AT6" i="1" s="1"/>
  <c r="AR8" i="1"/>
  <c r="AT8" i="1" s="1"/>
  <c r="AF5" i="1"/>
  <c r="AF21" i="1"/>
  <c r="AE21" i="1"/>
  <c r="AA20" i="1"/>
  <c r="AB20" i="1" s="1"/>
  <c r="AC20" i="1"/>
  <c r="Z16" i="1"/>
  <c r="AB16" i="1" s="1"/>
  <c r="AG16" i="1"/>
  <c r="Z13" i="1"/>
  <c r="AB13" i="1" s="1"/>
  <c r="AD13" i="1"/>
  <c r="AG13" i="1"/>
  <c r="AH12" i="1"/>
  <c r="AK12" i="1" s="1"/>
  <c r="Z11" i="1"/>
  <c r="AG11" i="1"/>
  <c r="AF11" i="1"/>
  <c r="AH7" i="1"/>
  <c r="AA7" i="1"/>
  <c r="AC7" i="1"/>
  <c r="AE6" i="1"/>
  <c r="AD6" i="1"/>
  <c r="AF6" i="1"/>
  <c r="Z6" i="1"/>
  <c r="AB6" i="1" s="1"/>
  <c r="AT7" i="1"/>
  <c r="AA21" i="1"/>
  <c r="AB21" i="1" s="1"/>
  <c r="AC21" i="1"/>
  <c r="AQ21" i="1"/>
  <c r="AP21" i="1" s="1"/>
  <c r="AJ20" i="1"/>
  <c r="AV20" i="1"/>
  <c r="AJ17" i="1"/>
  <c r="AW9" i="1"/>
  <c r="AX9" i="1" s="1"/>
  <c r="AW12" i="1"/>
  <c r="AX12" i="1" s="1"/>
  <c r="AS12" i="1"/>
  <c r="AT12" i="1" s="1"/>
  <c r="AD22" i="1"/>
  <c r="AF22" i="1"/>
  <c r="Z22" i="1"/>
  <c r="AB22" i="1" s="1"/>
  <c r="AE18" i="1"/>
  <c r="AF18" i="1"/>
  <c r="AG18" i="1"/>
  <c r="AA18" i="1"/>
  <c r="AB18" i="1" s="1"/>
  <c r="AJ15" i="1"/>
  <c r="AA10" i="1"/>
  <c r="AB10" i="1" s="1"/>
  <c r="Z7" i="1"/>
  <c r="AG7" i="1"/>
  <c r="AF7" i="1"/>
  <c r="AJ5" i="1"/>
  <c r="AV5" i="1"/>
  <c r="AT17" i="1"/>
  <c r="AR13" i="1"/>
  <c r="AT13" i="1" s="1"/>
  <c r="AR9" i="1"/>
  <c r="AT9" i="1" s="1"/>
  <c r="AN9" i="1"/>
  <c r="AA5" i="1"/>
  <c r="AR20" i="1"/>
  <c r="AT20" i="1" s="1"/>
  <c r="AQ11" i="1"/>
  <c r="AP11" i="1" s="1"/>
  <c r="AH21" i="1"/>
  <c r="AA19" i="1"/>
  <c r="AB19" i="1" s="1"/>
  <c r="AH19" i="1"/>
  <c r="AW17" i="1"/>
  <c r="AX17" i="1" s="1"/>
  <c r="AC15" i="1"/>
  <c r="AK15" i="1" s="1"/>
  <c r="AL15" i="1" s="1"/>
  <c r="AQ15" i="1"/>
  <c r="AP15" i="1" s="1"/>
  <c r="AH15" i="1"/>
  <c r="AE14" i="1"/>
  <c r="AF14" i="1"/>
  <c r="Z14" i="1"/>
  <c r="AB14" i="1" s="1"/>
  <c r="AJ11" i="1"/>
  <c r="AV11" i="1"/>
  <c r="AF10" i="1"/>
  <c r="AE10" i="1"/>
  <c r="AJ8" i="1"/>
  <c r="AJ6" i="1"/>
  <c r="AC5" i="1"/>
  <c r="AB5" i="1" l="1"/>
  <c r="AB8" i="1"/>
  <c r="AB7" i="1"/>
  <c r="AT19" i="1"/>
  <c r="AK21" i="1"/>
  <c r="AL21" i="1" s="1"/>
  <c r="AW21" i="1"/>
  <c r="AK10" i="1"/>
  <c r="AL10" i="1" s="1"/>
  <c r="AW10" i="1"/>
  <c r="AW19" i="1"/>
  <c r="AX19" i="1" s="1"/>
  <c r="AK19" i="1"/>
  <c r="AK18" i="1"/>
  <c r="AW18" i="1"/>
  <c r="AX18" i="1" s="1"/>
  <c r="AS21" i="1"/>
  <c r="AR21" i="1"/>
  <c r="AR16" i="1"/>
  <c r="AS16" i="1"/>
  <c r="AM10" i="1"/>
  <c r="AN10" i="1"/>
  <c r="AL12" i="1"/>
  <c r="AM12" i="1"/>
  <c r="AV23" i="1"/>
  <c r="AK7" i="1"/>
  <c r="AW7" i="1"/>
  <c r="AX7" i="1" s="1"/>
  <c r="AW20" i="1"/>
  <c r="AX20" i="1" s="1"/>
  <c r="AK20" i="1"/>
  <c r="AL20" i="1" s="1"/>
  <c r="AN17" i="1"/>
  <c r="AM17" i="1"/>
  <c r="AB11" i="1"/>
  <c r="AW13" i="1"/>
  <c r="AX13" i="1" s="1"/>
  <c r="AK13" i="1"/>
  <c r="AN12" i="1"/>
  <c r="AM21" i="1"/>
  <c r="AN21" i="1"/>
  <c r="AW15" i="1"/>
  <c r="AX15" i="1" s="1"/>
  <c r="AW22" i="1"/>
  <c r="AX22" i="1" s="1"/>
  <c r="AK22" i="1"/>
  <c r="AK6" i="1"/>
  <c r="AL6" i="1" s="1"/>
  <c r="AN6" i="1" s="1"/>
  <c r="AW6" i="1"/>
  <c r="AX6" i="1" s="1"/>
  <c r="AK5" i="1"/>
  <c r="AM5" i="1" s="1"/>
  <c r="AW5" i="1"/>
  <c r="AX5" i="1" s="1"/>
  <c r="AW14" i="1"/>
  <c r="AX14" i="1" s="1"/>
  <c r="AK14" i="1"/>
  <c r="AL14" i="1" s="1"/>
  <c r="AS15" i="1"/>
  <c r="AR15" i="1"/>
  <c r="AT15" i="1" s="1"/>
  <c r="AP5" i="1"/>
  <c r="AJ23" i="1"/>
  <c r="AX10" i="1"/>
  <c r="AS11" i="1"/>
  <c r="AR11" i="1"/>
  <c r="AN15" i="1"/>
  <c r="AM15" i="1"/>
  <c r="AM20" i="1"/>
  <c r="AN20" i="1"/>
  <c r="AK16" i="1"/>
  <c r="AL16" i="1" s="1"/>
  <c r="AW16" i="1"/>
  <c r="AX16" i="1" s="1"/>
  <c r="AX21" i="1"/>
  <c r="AW8" i="1" l="1"/>
  <c r="AX8" i="1" s="1"/>
  <c r="AK8" i="1"/>
  <c r="AM6" i="1"/>
  <c r="AT21" i="1"/>
  <c r="AM14" i="1"/>
  <c r="AK11" i="1"/>
  <c r="AW11" i="1"/>
  <c r="AX11" i="1" s="1"/>
  <c r="AT11" i="1"/>
  <c r="AN14" i="1"/>
  <c r="AN16" i="1"/>
  <c r="AT16" i="1"/>
  <c r="AM18" i="1"/>
  <c r="AL18" i="1"/>
  <c r="AN18" i="1" s="1"/>
  <c r="AL22" i="1"/>
  <c r="AM22" i="1"/>
  <c r="AN22" i="1"/>
  <c r="AM13" i="1"/>
  <c r="AL13" i="1"/>
  <c r="AN13" i="1"/>
  <c r="AL7" i="1"/>
  <c r="AN7" i="1" s="1"/>
  <c r="AM7" i="1"/>
  <c r="AM16" i="1"/>
  <c r="AL19" i="1"/>
  <c r="AN19" i="1" s="1"/>
  <c r="AM19" i="1"/>
  <c r="AS5" i="1"/>
  <c r="AS23" i="1" s="1"/>
  <c r="AR5" i="1"/>
  <c r="AK23" i="1"/>
  <c r="AL5" i="1"/>
  <c r="AX23" i="1" l="1"/>
  <c r="AL8" i="1"/>
  <c r="AN8" i="1"/>
  <c r="AM8" i="1"/>
  <c r="AL11" i="1"/>
  <c r="AN11" i="1" s="1"/>
  <c r="AM11" i="1"/>
  <c r="AM23" i="1" s="1"/>
  <c r="AN5" i="1"/>
  <c r="AT5" i="1"/>
  <c r="AT23" i="1" s="1"/>
  <c r="AR23" i="1"/>
  <c r="AW23" i="1"/>
  <c r="AL23" i="1" l="1"/>
  <c r="AN23" i="1"/>
</calcChain>
</file>

<file path=xl/sharedStrings.xml><?xml version="1.0" encoding="utf-8"?>
<sst xmlns="http://schemas.openxmlformats.org/spreadsheetml/2006/main" count="128" uniqueCount="113">
  <si>
    <t>Proposed Separation Date:</t>
  </si>
  <si>
    <t>Position</t>
  </si>
  <si>
    <t>Years of Service</t>
  </si>
  <si>
    <t>Annual Salary</t>
  </si>
  <si>
    <t>Health Coverage</t>
  </si>
  <si>
    <t>Severance</t>
  </si>
  <si>
    <t>Weeks of Severance</t>
  </si>
  <si>
    <t>Weekly Salary</t>
  </si>
  <si>
    <t>Single</t>
  </si>
  <si>
    <t>Employee + 1</t>
  </si>
  <si>
    <t>Family</t>
  </si>
  <si>
    <t>Waived Coverage</t>
  </si>
  <si>
    <t>Group Life Rate:</t>
  </si>
  <si>
    <t>Group Life</t>
  </si>
  <si>
    <t>Kaiser Permanente</t>
  </si>
  <si>
    <t>Health Carrier</t>
  </si>
  <si>
    <t>Hourly Rate</t>
  </si>
  <si>
    <t>Annual Leave Balance (Hours)</t>
  </si>
  <si>
    <t>Sick Leave Balance (Hours)</t>
  </si>
  <si>
    <t>On-Call Leave Balance (Hours)</t>
  </si>
  <si>
    <t>Overtime Leave Balance (Hours)</t>
  </si>
  <si>
    <t>Annual Leave Pay</t>
  </si>
  <si>
    <t>Calculated Service</t>
  </si>
  <si>
    <t>Annual Leave Calc1</t>
  </si>
  <si>
    <t>Annual Leave Calc2</t>
  </si>
  <si>
    <t>VSDP Covered?</t>
  </si>
  <si>
    <t>Yes</t>
  </si>
  <si>
    <t>No</t>
  </si>
  <si>
    <t>Sick Leave Pay</t>
  </si>
  <si>
    <t>On-Call Leave Pay</t>
  </si>
  <si>
    <t>Overtime Leave Pay</t>
  </si>
  <si>
    <t>Disability Credits Pay</t>
  </si>
  <si>
    <t>TOTAL WTA BENEFIT</t>
  </si>
  <si>
    <t>TOTAL LEAVE PAYMENTS</t>
  </si>
  <si>
    <t>50 or Older?</t>
  </si>
  <si>
    <t>Purchase Cost of Retirement Option</t>
  </si>
  <si>
    <t>TOTAL COST OF RETIREMENT OPTION</t>
  </si>
  <si>
    <t>Employee In VSDP?</t>
  </si>
  <si>
    <t>Comp Leave Balance (Hours)</t>
  </si>
  <si>
    <t>Disability Credits (Hours)</t>
  </si>
  <si>
    <t>Employer Health Premium Cost</t>
  </si>
  <si>
    <t>Comp Leave Pay</t>
  </si>
  <si>
    <t>Re-cognition Leave Balance (Hours)</t>
  </si>
  <si>
    <t>Re-cognition Leave Pay</t>
  </si>
  <si>
    <t>CALCULATED FACTORS</t>
  </si>
  <si>
    <t>FICA</t>
  </si>
  <si>
    <t>TOTAL BENEFIT
(WTA PLUS LEAVE PAY)</t>
  </si>
  <si>
    <t>TOTAL AGENCY COST (WITH FICA)</t>
  </si>
  <si>
    <t>Health Coverage2</t>
  </si>
  <si>
    <t>Example</t>
  </si>
  <si>
    <t>Data Entry</t>
  </si>
  <si>
    <t>Employee Vested In VRS?</t>
  </si>
  <si>
    <t>VRS VESTED?</t>
  </si>
  <si>
    <t>Vested</t>
  </si>
  <si>
    <t>Begin Continuous Service Date:</t>
  </si>
  <si>
    <t>TOTAL LEAVE PAYMENTS (WITH FICA)</t>
  </si>
  <si>
    <t>Full-Time Employee 50 Yrs or Older?</t>
  </si>
  <si>
    <t>Severance is based on the following:</t>
  </si>
  <si>
    <t>Weeks of Salary (Standard)</t>
  </si>
  <si>
    <t>Weeks of Salary (Tenure-based)</t>
  </si>
  <si>
    <t>Tenure-based Conditions</t>
  </si>
  <si>
    <t>2 Years or Less</t>
  </si>
  <si>
    <t>9 Years or Less</t>
  </si>
  <si>
    <t>for each year over 2</t>
  </si>
  <si>
    <t>14 Years or Less</t>
  </si>
  <si>
    <t>for each year over 9</t>
  </si>
  <si>
    <t>15 Years or More:</t>
  </si>
  <si>
    <t>for each year, maximum 36 weeks</t>
  </si>
  <si>
    <t>SEVERANCE OPTION ASSUMPTIONS</t>
  </si>
  <si>
    <t>Group Life For Severance Option:</t>
  </si>
  <si>
    <t>Leave Payments:</t>
  </si>
  <si>
    <t>Annual Leave Balances:</t>
  </si>
  <si>
    <t>5-9 years of service: max 240 hours</t>
  </si>
  <si>
    <t>10-19 years of service max 288 hours</t>
  </si>
  <si>
    <t>20 or more years of service: max 336 hours</t>
  </si>
  <si>
    <t>Less than 5 years of service: max 192 hours</t>
  </si>
  <si>
    <t>Hourly Rate = (Annual Salary/52 weeks)/40 hours</t>
  </si>
  <si>
    <t>Annual Leave Pay = Hourly Rate x leave balance in hours with the following maximums:</t>
  </si>
  <si>
    <t>-Individuals with less than 5 years of service get no sick leave pay-out.</t>
  </si>
  <si>
    <t>-The maximum sick leave pay-out is $5,000</t>
  </si>
  <si>
    <t>Sick Leave Balances and disability credits:</t>
  </si>
  <si>
    <t>-Individuals in VSDP get no sick leave pay-out but do get a disability credit pay-out.</t>
  </si>
  <si>
    <t>Sick Leave Pay = Hourly Rate x 25% of Sick Leave balance (in hours) with the following exceptions:</t>
  </si>
  <si>
    <t>-VSDP Participants get:</t>
  </si>
  <si>
    <t xml:space="preserve"> Disability Credit Pay = Hourly Rate x 25% of Disability Credit (in hours)</t>
  </si>
  <si>
    <t>Other Leave Types:</t>
  </si>
  <si>
    <t>Leave Pay = Hourly Rate x leave balance in hours</t>
  </si>
  <si>
    <t>RETIREMENT OPTION ASSUMPTIONS</t>
  </si>
  <si>
    <t>The Severance Amount plus the Health Insurance Amount plus the group life amount</t>
  </si>
  <si>
    <t>The amount of purchased retirement credit is found by first adding the following:</t>
  </si>
  <si>
    <t>Years of credit = severance+health insurance+group life divided by 15% of the annual salary, rounded up</t>
  </si>
  <si>
    <t>The leave costs under the retirement option are the same as under the severance option.</t>
  </si>
  <si>
    <t>Cost to the agency of the purchased service= 15% of salary x years of credit</t>
  </si>
  <si>
    <t xml:space="preserve">Given the following years of consecutive service (Rounded Up):  </t>
  </si>
  <si>
    <t>COVA Care</t>
  </si>
  <si>
    <t>EMPLOYER RETIREMENT OPTION COST</t>
  </si>
  <si>
    <t>EMPLOYER COSTS FOR SEVERANCE OPTION</t>
  </si>
  <si>
    <t>EMPLOYEE CASH BENEFITS</t>
  </si>
  <si>
    <t>Leave Payments</t>
  </si>
  <si>
    <t>Total Possible Employee Cash Payments</t>
  </si>
  <si>
    <t>Severance (Severance Option Only)</t>
  </si>
  <si>
    <t xml:space="preserve">Retirement Option Credit (Years) </t>
  </si>
  <si>
    <t>COVA HDHP</t>
  </si>
  <si>
    <t>COVA High Deductible Health Plan</t>
  </si>
  <si>
    <t>FICA/Social Security:</t>
  </si>
  <si>
    <t>FICA/Social Security is calculated on both the severance payments and leave balance portions</t>
  </si>
  <si>
    <t>FICA/Social Security is 7.65%</t>
  </si>
  <si>
    <t>These are the same amounts as under the severance option.</t>
  </si>
  <si>
    <t>Health Aware</t>
  </si>
  <si>
    <t>Employer Annual Health Insurance Premiums (FY 2015):</t>
  </si>
  <si>
    <t>Health Insurance for the severance option is based on the following premiums:</t>
  </si>
  <si>
    <t>COVA Care and HealthAware</t>
  </si>
  <si>
    <t>FY 2017 ANNUAL EMPLOYER PREMIUMS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</si>
</sst>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3" formatCode="_(* #,##0.00_);_(* \(#,##0.00\);_(* &quot;-&quot;??_);_(@_)"/>
    <numFmt numFmtId="164" formatCode="m/d/yy"/>
    <numFmt numFmtId="165" formatCode="&quot;$&quot;#,##0"/>
    <numFmt numFmtId="166" formatCode="&quot;$&quot;#,##0.00"/>
  </numFmts>
  <fonts count="17" x14ac:knownFonts="1">
    <font>
      <sz val="10"/>
      <name val="Arial"/>
    </font>
    <font>
      <sz val="10"/>
      <name val="Arial"/>
      <family val="2"/>
    </font>
    <font>
      <b/>
      <sz val="10"/>
      <name val="Arial"/>
      <family val="2"/>
    </font>
    <font>
      <sz val="9"/>
      <name val="Arial"/>
      <family val="2"/>
    </font>
    <font>
      <b/>
      <i/>
      <sz val="10"/>
      <name val="Arial"/>
      <family val="2"/>
    </font>
    <font>
      <b/>
      <u/>
      <sz val="10"/>
      <color indexed="56"/>
      <name val="Arial"/>
      <family val="2"/>
    </font>
    <font>
      <b/>
      <sz val="8"/>
      <name val="Arial"/>
      <family val="2"/>
    </font>
    <font>
      <b/>
      <sz val="8"/>
      <color indexed="56"/>
      <name val="Arial"/>
      <family val="2"/>
    </font>
    <font>
      <b/>
      <u/>
      <sz val="10"/>
      <color indexed="62"/>
      <name val="Arial"/>
      <family val="2"/>
    </font>
    <font>
      <i/>
      <sz val="10"/>
      <name val="Arial"/>
      <family val="2"/>
    </font>
    <font>
      <sz val="10"/>
      <name val="Arial"/>
      <family val="2"/>
    </font>
    <font>
      <sz val="10"/>
      <name val="Arial Narrow"/>
      <family val="2"/>
    </font>
    <font>
      <b/>
      <u/>
      <sz val="10"/>
      <name val="Arial"/>
      <family val="2"/>
    </font>
    <font>
      <b/>
      <i/>
      <sz val="10"/>
      <color indexed="16"/>
      <name val="Arial"/>
      <family val="2"/>
    </font>
    <font>
      <b/>
      <sz val="10"/>
      <color indexed="17"/>
      <name val="Arial"/>
      <family val="2"/>
    </font>
    <font>
      <u/>
      <sz val="10"/>
      <name val="Arial"/>
      <family val="2"/>
    </font>
    <font>
      <sz val="10"/>
      <name val="Times New Roman"/>
      <family val="1"/>
    </font>
  </fonts>
  <fills count="4">
    <fill>
      <patternFill patternType="none"/>
    </fill>
    <fill>
      <patternFill patternType="gray125"/>
    </fill>
    <fill>
      <patternFill patternType="solid">
        <fgColor indexed="26"/>
        <bgColor indexed="64"/>
      </patternFill>
    </fill>
    <fill>
      <patternFill patternType="solid">
        <fgColor indexed="47"/>
        <bgColor indexed="64"/>
      </patternFill>
    </fill>
  </fills>
  <borders count="3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9"/>
      </right>
      <top/>
      <bottom/>
      <diagonal/>
    </border>
    <border>
      <left style="thin">
        <color indexed="9"/>
      </left>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52">
    <xf numFmtId="0" fontId="0" fillId="0" borderId="0" xfId="0"/>
    <xf numFmtId="0" fontId="2" fillId="0" borderId="0" xfId="0" applyFont="1"/>
    <xf numFmtId="3" fontId="0" fillId="0" borderId="0" xfId="0" applyNumberFormat="1"/>
    <xf numFmtId="0" fontId="2" fillId="0" borderId="0" xfId="0" applyFont="1" applyAlignment="1">
      <alignment horizontal="center"/>
    </xf>
    <xf numFmtId="0" fontId="2" fillId="0" borderId="0" xfId="0" applyFont="1" applyAlignment="1">
      <alignment horizontal="center" wrapText="1"/>
    </xf>
    <xf numFmtId="0" fontId="2" fillId="0" borderId="1" xfId="0" applyFont="1" applyBorder="1"/>
    <xf numFmtId="10" fontId="0" fillId="0" borderId="2" xfId="0" applyNumberFormat="1" applyBorder="1"/>
    <xf numFmtId="0" fontId="0" fillId="0" borderId="0" xfId="0" applyFill="1" applyAlignment="1">
      <alignment horizontal="center"/>
    </xf>
    <xf numFmtId="0" fontId="0" fillId="0" borderId="0" xfId="0" applyFill="1"/>
    <xf numFmtId="0" fontId="2" fillId="0" borderId="0" xfId="0" applyFont="1" applyFill="1" applyAlignment="1">
      <alignment horizontal="left"/>
    </xf>
    <xf numFmtId="0" fontId="3" fillId="0" borderId="0" xfId="0" applyFont="1"/>
    <xf numFmtId="0" fontId="2" fillId="0" borderId="0" xfId="0" applyFont="1" applyFill="1"/>
    <xf numFmtId="165" fontId="0" fillId="0" borderId="3" xfId="0" applyNumberFormat="1" applyBorder="1"/>
    <xf numFmtId="1" fontId="0" fillId="0" borderId="3" xfId="0" applyNumberFormat="1" applyBorder="1" applyAlignment="1">
      <alignment horizontal="center"/>
    </xf>
    <xf numFmtId="2" fontId="0" fillId="0" borderId="3" xfId="0" applyNumberFormat="1" applyBorder="1" applyAlignment="1">
      <alignment horizontal="center"/>
    </xf>
    <xf numFmtId="0" fontId="0" fillId="0" borderId="3" xfId="0" applyBorder="1" applyAlignment="1">
      <alignment horizontal="center"/>
    </xf>
    <xf numFmtId="165" fontId="4" fillId="0" borderId="3" xfId="0" applyNumberFormat="1" applyFont="1" applyBorder="1"/>
    <xf numFmtId="165" fontId="4" fillId="0" borderId="4" xfId="0" applyNumberFormat="1" applyFont="1" applyBorder="1"/>
    <xf numFmtId="165" fontId="5" fillId="0" borderId="5" xfId="0" applyNumberFormat="1" applyFont="1" applyBorder="1"/>
    <xf numFmtId="165" fontId="4" fillId="0" borderId="6" xfId="0" applyNumberFormat="1" applyFont="1" applyBorder="1"/>
    <xf numFmtId="165" fontId="4" fillId="0" borderId="7" xfId="0" applyNumberFormat="1" applyFont="1" applyBorder="1"/>
    <xf numFmtId="165" fontId="5" fillId="0" borderId="8" xfId="0" applyNumberFormat="1" applyFont="1" applyBorder="1"/>
    <xf numFmtId="0" fontId="4" fillId="0" borderId="4" xfId="0" applyFont="1" applyBorder="1" applyAlignment="1">
      <alignment horizontal="center"/>
    </xf>
    <xf numFmtId="0" fontId="4" fillId="0" borderId="6" xfId="0" applyFont="1" applyBorder="1" applyAlignment="1">
      <alignment horizontal="center"/>
    </xf>
    <xf numFmtId="165" fontId="0" fillId="0" borderId="7" xfId="0" applyNumberFormat="1" applyBorder="1"/>
    <xf numFmtId="1" fontId="0" fillId="0" borderId="7" xfId="0" applyNumberFormat="1" applyBorder="1" applyAlignment="1">
      <alignment horizontal="center"/>
    </xf>
    <xf numFmtId="2" fontId="0" fillId="0" borderId="7" xfId="0" applyNumberFormat="1" applyBorder="1" applyAlignment="1">
      <alignment horizontal="center"/>
    </xf>
    <xf numFmtId="0" fontId="0" fillId="0" borderId="7" xfId="0" applyBorder="1" applyAlignment="1">
      <alignment horizontal="center"/>
    </xf>
    <xf numFmtId="0" fontId="0" fillId="2" borderId="3" xfId="0" applyFill="1" applyBorder="1" applyAlignment="1">
      <alignment horizontal="center" wrapText="1"/>
    </xf>
    <xf numFmtId="164" fontId="0" fillId="2" borderId="3" xfId="0" applyNumberFormat="1" applyFill="1" applyBorder="1" applyAlignment="1">
      <alignment horizontal="center"/>
    </xf>
    <xf numFmtId="1" fontId="0" fillId="2" borderId="3" xfId="0" applyNumberFormat="1" applyFill="1" applyBorder="1" applyAlignment="1">
      <alignment horizontal="center"/>
    </xf>
    <xf numFmtId="0" fontId="0" fillId="2" borderId="7" xfId="0" applyFill="1" applyBorder="1" applyAlignment="1">
      <alignment horizontal="center" wrapText="1"/>
    </xf>
    <xf numFmtId="164" fontId="0" fillId="2" borderId="7" xfId="0" applyNumberFormat="1" applyFill="1" applyBorder="1" applyAlignment="1">
      <alignment horizontal="center"/>
    </xf>
    <xf numFmtId="1" fontId="0" fillId="2" borderId="7" xfId="0" applyNumberFormat="1" applyFill="1" applyBorder="1" applyAlignment="1">
      <alignment horizontal="center"/>
    </xf>
    <xf numFmtId="165" fontId="0" fillId="0" borderId="4" xfId="0" applyNumberFormat="1" applyBorder="1"/>
    <xf numFmtId="165" fontId="0" fillId="0" borderId="5" xfId="0" applyNumberFormat="1" applyBorder="1"/>
    <xf numFmtId="165" fontId="0" fillId="0" borderId="6" xfId="0" applyNumberFormat="1" applyBorder="1"/>
    <xf numFmtId="165" fontId="0" fillId="0" borderId="8" xfId="0" applyNumberFormat="1" applyBorder="1"/>
    <xf numFmtId="1" fontId="0" fillId="2" borderId="5" xfId="0" applyNumberFormat="1" applyFill="1" applyBorder="1" applyAlignment="1">
      <alignment horizontal="center"/>
    </xf>
    <xf numFmtId="1" fontId="0" fillId="2" borderId="8" xfId="0" applyNumberFormat="1" applyFill="1" applyBorder="1" applyAlignment="1">
      <alignment horizontal="center"/>
    </xf>
    <xf numFmtId="165" fontId="5" fillId="0" borderId="9" xfId="0" applyNumberFormat="1" applyFont="1" applyBorder="1"/>
    <xf numFmtId="165" fontId="5" fillId="0" borderId="10" xfId="0" applyNumberFormat="1" applyFont="1" applyBorder="1"/>
    <xf numFmtId="0" fontId="7" fillId="0" borderId="11" xfId="0" applyFont="1" applyBorder="1" applyAlignment="1">
      <alignment horizontal="center" wrapText="1"/>
    </xf>
    <xf numFmtId="43" fontId="0" fillId="0" borderId="0" xfId="1" applyFont="1"/>
    <xf numFmtId="0" fontId="0" fillId="0" borderId="0" xfId="0" applyAlignment="1">
      <alignment horizontal="center"/>
    </xf>
    <xf numFmtId="165" fontId="2" fillId="0" borderId="12" xfId="0" applyNumberFormat="1" applyFont="1" applyBorder="1"/>
    <xf numFmtId="165" fontId="2" fillId="0" borderId="13" xfId="0" applyNumberFormat="1" applyFont="1" applyBorder="1"/>
    <xf numFmtId="0" fontId="4" fillId="0" borderId="14" xfId="0" applyFont="1" applyBorder="1" applyAlignment="1">
      <alignment horizontal="center"/>
    </xf>
    <xf numFmtId="0" fontId="6" fillId="0" borderId="15" xfId="0" applyFont="1" applyBorder="1" applyAlignment="1">
      <alignment horizontal="center" wrapText="1"/>
    </xf>
    <xf numFmtId="0" fontId="6" fillId="3" borderId="16" xfId="0" applyFont="1" applyFill="1" applyBorder="1" applyAlignment="1">
      <alignment horizontal="center" wrapText="1"/>
    </xf>
    <xf numFmtId="0" fontId="6" fillId="0" borderId="16" xfId="0" applyFont="1" applyBorder="1" applyAlignment="1">
      <alignment horizontal="center" wrapText="1"/>
    </xf>
    <xf numFmtId="0" fontId="7" fillId="0" borderId="17" xfId="0" applyFont="1" applyBorder="1" applyAlignment="1">
      <alignment horizontal="center" wrapText="1"/>
    </xf>
    <xf numFmtId="165" fontId="2" fillId="0" borderId="0" xfId="0" applyNumberFormat="1" applyFont="1"/>
    <xf numFmtId="165" fontId="8" fillId="0" borderId="0" xfId="0" applyNumberFormat="1" applyFont="1"/>
    <xf numFmtId="2" fontId="0" fillId="0" borderId="18" xfId="0" applyNumberFormat="1" applyBorder="1" applyAlignment="1">
      <alignment horizontal="center"/>
    </xf>
    <xf numFmtId="1" fontId="0" fillId="0" borderId="18" xfId="0" applyNumberFormat="1" applyBorder="1" applyAlignment="1">
      <alignment horizontal="center"/>
    </xf>
    <xf numFmtId="165" fontId="0" fillId="0" borderId="18" xfId="0" applyNumberFormat="1" applyBorder="1"/>
    <xf numFmtId="0" fontId="6" fillId="0" borderId="17" xfId="0" applyFont="1" applyBorder="1" applyAlignment="1">
      <alignment horizontal="center" wrapText="1"/>
    </xf>
    <xf numFmtId="0" fontId="0" fillId="0" borderId="19" xfId="0" applyBorder="1"/>
    <xf numFmtId="0" fontId="0" fillId="0" borderId="18" xfId="0" applyFill="1" applyBorder="1" applyAlignment="1">
      <alignment horizontal="center" wrapText="1"/>
    </xf>
    <xf numFmtId="0" fontId="0" fillId="0" borderId="3" xfId="0" applyFill="1" applyBorder="1" applyAlignment="1">
      <alignment horizontal="center" wrapText="1"/>
    </xf>
    <xf numFmtId="0" fontId="0" fillId="0" borderId="7" xfId="0" applyFill="1" applyBorder="1" applyAlignment="1">
      <alignment horizontal="center" wrapText="1"/>
    </xf>
    <xf numFmtId="10" fontId="0" fillId="0" borderId="0" xfId="0" applyNumberFormat="1" applyBorder="1"/>
    <xf numFmtId="0" fontId="4" fillId="0" borderId="20"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0" fillId="0" borderId="23" xfId="0" applyBorder="1"/>
    <xf numFmtId="0" fontId="0" fillId="0" borderId="24" xfId="0" applyBorder="1"/>
    <xf numFmtId="0" fontId="2" fillId="0" borderId="23" xfId="0" applyFont="1" applyBorder="1"/>
    <xf numFmtId="166" fontId="0" fillId="0" borderId="0" xfId="0" applyNumberFormat="1"/>
    <xf numFmtId="166" fontId="0" fillId="0" borderId="14" xfId="0" applyNumberFormat="1" applyBorder="1"/>
    <xf numFmtId="166" fontId="0" fillId="0" borderId="18" xfId="0" applyNumberFormat="1" applyBorder="1"/>
    <xf numFmtId="4" fontId="4" fillId="0" borderId="14" xfId="0" applyNumberFormat="1" applyFont="1" applyBorder="1"/>
    <xf numFmtId="166" fontId="4" fillId="0" borderId="18" xfId="0" applyNumberFormat="1" applyFont="1" applyBorder="1"/>
    <xf numFmtId="166" fontId="2" fillId="0" borderId="25" xfId="0" applyNumberFormat="1" applyFont="1" applyBorder="1"/>
    <xf numFmtId="166" fontId="5" fillId="0" borderId="26" xfId="0" applyNumberFormat="1" applyFont="1" applyBorder="1"/>
    <xf numFmtId="166" fontId="5" fillId="0" borderId="27" xfId="0" applyNumberFormat="1" applyFont="1" applyBorder="1"/>
    <xf numFmtId="0" fontId="10" fillId="0" borderId="6" xfId="0" applyFont="1" applyBorder="1" applyAlignment="1">
      <alignment vertical="top"/>
    </xf>
    <xf numFmtId="0" fontId="10" fillId="0" borderId="7" xfId="0" applyFont="1" applyBorder="1" applyAlignment="1">
      <alignment horizontal="center" vertical="top"/>
    </xf>
    <xf numFmtId="0" fontId="10" fillId="0" borderId="3" xfId="0" applyFont="1" applyBorder="1" applyAlignment="1">
      <alignment horizontal="center" vertical="top"/>
    </xf>
    <xf numFmtId="0" fontId="0" fillId="0" borderId="15" xfId="0" applyBorder="1" applyAlignment="1">
      <alignment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vertical="top"/>
    </xf>
    <xf numFmtId="0" fontId="10" fillId="0" borderId="18" xfId="0" applyFont="1" applyBorder="1" applyAlignment="1">
      <alignment horizontal="center" vertical="top"/>
    </xf>
    <xf numFmtId="0" fontId="10" fillId="0" borderId="4" xfId="0" applyFont="1" applyBorder="1" applyAlignment="1">
      <alignment vertical="top"/>
    </xf>
    <xf numFmtId="0" fontId="0" fillId="0" borderId="8" xfId="0" applyBorder="1" applyAlignment="1">
      <alignment vertical="top" wrapText="1"/>
    </xf>
    <xf numFmtId="0" fontId="2" fillId="0" borderId="0" xfId="0" applyFont="1" applyFill="1" applyBorder="1" applyAlignment="1">
      <alignment vertical="top"/>
    </xf>
    <xf numFmtId="0" fontId="0" fillId="0" borderId="27" xfId="0" applyBorder="1" applyAlignment="1">
      <alignment vertical="top" wrapText="1"/>
    </xf>
    <xf numFmtId="0" fontId="0" fillId="0" borderId="5" xfId="0" applyBorder="1" applyAlignment="1">
      <alignment vertical="top" wrapText="1"/>
    </xf>
    <xf numFmtId="0" fontId="0" fillId="0" borderId="0" xfId="0" applyAlignment="1">
      <alignment horizontal="center" wrapText="1"/>
    </xf>
    <xf numFmtId="0" fontId="2" fillId="0" borderId="28" xfId="0" applyFont="1" applyBorder="1" applyAlignment="1">
      <alignment wrapText="1"/>
    </xf>
    <xf numFmtId="0" fontId="0" fillId="0" borderId="29" xfId="0" applyBorder="1" applyAlignment="1">
      <alignment horizontal="center" wrapText="1"/>
    </xf>
    <xf numFmtId="0" fontId="0" fillId="0" borderId="30" xfId="0" applyBorder="1" applyAlignment="1">
      <alignment horizontal="center" wrapText="1"/>
    </xf>
    <xf numFmtId="0" fontId="0" fillId="0" borderId="4" xfId="0" applyBorder="1" applyAlignment="1">
      <alignment wrapText="1"/>
    </xf>
    <xf numFmtId="0" fontId="0" fillId="0" borderId="6" xfId="0" applyBorder="1" applyAlignment="1">
      <alignment wrapText="1"/>
    </xf>
    <xf numFmtId="0" fontId="9" fillId="0" borderId="0" xfId="0" applyFont="1"/>
    <xf numFmtId="0" fontId="11" fillId="0" borderId="0" xfId="0" applyFont="1"/>
    <xf numFmtId="0" fontId="4" fillId="0" borderId="0" xfId="0" applyFont="1"/>
    <xf numFmtId="0" fontId="0" fillId="0" borderId="0" xfId="0" quotePrefix="1"/>
    <xf numFmtId="3" fontId="0" fillId="0" borderId="3" xfId="0" applyNumberFormat="1" applyBorder="1"/>
    <xf numFmtId="3" fontId="0" fillId="0" borderId="5" xfId="0" applyNumberFormat="1" applyBorder="1"/>
    <xf numFmtId="3" fontId="0" fillId="0" borderId="7" xfId="0" applyNumberFormat="1" applyBorder="1"/>
    <xf numFmtId="3" fontId="0" fillId="0" borderId="8" xfId="0" applyNumberFormat="1" applyBorder="1"/>
    <xf numFmtId="0" fontId="12" fillId="0" borderId="0" xfId="0" applyFont="1"/>
    <xf numFmtId="0" fontId="2" fillId="0" borderId="0" xfId="0" applyFont="1" applyBorder="1" applyAlignment="1">
      <alignment horizontal="center"/>
    </xf>
    <xf numFmtId="0" fontId="0" fillId="0" borderId="0" xfId="0" applyBorder="1"/>
    <xf numFmtId="0" fontId="6" fillId="0" borderId="31" xfId="0" applyFont="1" applyBorder="1" applyAlignment="1">
      <alignment horizontal="center" wrapText="1"/>
    </xf>
    <xf numFmtId="0" fontId="6" fillId="0" borderId="32" xfId="0" applyFont="1" applyBorder="1" applyAlignment="1">
      <alignment horizontal="center" wrapText="1"/>
    </xf>
    <xf numFmtId="0" fontId="7" fillId="0" borderId="33" xfId="0" applyFont="1" applyBorder="1" applyAlignment="1">
      <alignment horizontal="center" wrapText="1"/>
    </xf>
    <xf numFmtId="166" fontId="2" fillId="0" borderId="3" xfId="1" applyNumberFormat="1" applyFont="1" applyBorder="1"/>
    <xf numFmtId="166" fontId="2" fillId="0" borderId="4" xfId="1" applyNumberFormat="1" applyFont="1" applyBorder="1"/>
    <xf numFmtId="166" fontId="5" fillId="0" borderId="5" xfId="0" applyNumberFormat="1" applyFont="1" applyBorder="1"/>
    <xf numFmtId="166" fontId="2" fillId="0" borderId="6" xfId="1" applyNumberFormat="1" applyFont="1" applyBorder="1"/>
    <xf numFmtId="166" fontId="2" fillId="0" borderId="7" xfId="1" applyNumberFormat="1" applyFont="1" applyBorder="1"/>
    <xf numFmtId="166" fontId="5" fillId="0" borderId="8" xfId="0" applyNumberFormat="1" applyFont="1" applyBorder="1"/>
    <xf numFmtId="0" fontId="0" fillId="2" borderId="3" xfId="0" applyFill="1" applyBorder="1"/>
    <xf numFmtId="165" fontId="0" fillId="2" borderId="3" xfId="0" applyNumberFormat="1" applyFill="1" applyBorder="1"/>
    <xf numFmtId="0" fontId="0" fillId="2" borderId="18" xfId="0" applyFill="1" applyBorder="1"/>
    <xf numFmtId="165" fontId="0" fillId="2" borderId="18" xfId="0" applyNumberFormat="1" applyFill="1" applyBorder="1"/>
    <xf numFmtId="0" fontId="0" fillId="2" borderId="18" xfId="0" applyFill="1" applyBorder="1" applyAlignment="1">
      <alignment horizontal="center" wrapText="1"/>
    </xf>
    <xf numFmtId="164" fontId="0" fillId="2" borderId="18" xfId="0" applyNumberFormat="1" applyFill="1" applyBorder="1" applyAlignment="1">
      <alignment horizontal="center"/>
    </xf>
    <xf numFmtId="1" fontId="0" fillId="2" borderId="18" xfId="0" applyNumberFormat="1" applyFill="1" applyBorder="1" applyAlignment="1">
      <alignment horizontal="center"/>
    </xf>
    <xf numFmtId="1" fontId="0" fillId="2" borderId="27" xfId="0" applyNumberFormat="1" applyFill="1" applyBorder="1" applyAlignment="1">
      <alignment horizontal="center"/>
    </xf>
    <xf numFmtId="0" fontId="6" fillId="0" borderId="11" xfId="0" applyFont="1" applyBorder="1" applyAlignment="1">
      <alignment horizontal="center"/>
    </xf>
    <xf numFmtId="0" fontId="6" fillId="0" borderId="34" xfId="0" applyFont="1" applyBorder="1" applyAlignment="1">
      <alignment horizontal="center" wrapText="1"/>
    </xf>
    <xf numFmtId="0" fontId="6" fillId="0" borderId="0" xfId="0" applyFont="1" applyBorder="1" applyAlignment="1">
      <alignment horizontal="center" wrapText="1"/>
    </xf>
    <xf numFmtId="166" fontId="0" fillId="0" borderId="0" xfId="0" applyNumberFormat="1" applyBorder="1"/>
    <xf numFmtId="165" fontId="0" fillId="0" borderId="0" xfId="0" applyNumberFormat="1" applyBorder="1"/>
    <xf numFmtId="166" fontId="0" fillId="0" borderId="27" xfId="0" applyNumberFormat="1" applyBorder="1"/>
    <xf numFmtId="0" fontId="15" fillId="0" borderId="0" xfId="0" applyFont="1"/>
    <xf numFmtId="6" fontId="0" fillId="0" borderId="0" xfId="0" applyNumberFormat="1"/>
    <xf numFmtId="6" fontId="15" fillId="0" borderId="0" xfId="0" applyNumberFormat="1" applyFont="1"/>
    <xf numFmtId="0" fontId="0" fillId="0" borderId="3" xfId="0" applyBorder="1"/>
    <xf numFmtId="0" fontId="0" fillId="0" borderId="0" xfId="0" applyFill="1" applyBorder="1"/>
    <xf numFmtId="6" fontId="16" fillId="0" borderId="0" xfId="0" applyNumberFormat="1" applyFont="1" applyBorder="1" applyAlignment="1">
      <alignment horizontal="center" vertical="top"/>
    </xf>
    <xf numFmtId="0" fontId="0" fillId="0" borderId="0" xfId="0" applyFill="1" applyBorder="1" applyAlignment="1">
      <alignment horizontal="center"/>
    </xf>
    <xf numFmtId="3" fontId="0" fillId="0" borderId="12" xfId="0" applyNumberFormat="1" applyBorder="1"/>
    <xf numFmtId="3" fontId="0" fillId="0" borderId="13" xfId="0" applyNumberFormat="1" applyBorder="1"/>
    <xf numFmtId="3" fontId="0" fillId="0" borderId="3" xfId="0" applyNumberFormat="1" applyBorder="1" applyAlignment="1">
      <alignment wrapText="1"/>
    </xf>
    <xf numFmtId="0" fontId="2" fillId="0" borderId="1" xfId="0" applyFont="1" applyBorder="1" applyAlignment="1">
      <alignment horizontal="center"/>
    </xf>
    <xf numFmtId="0" fontId="2" fillId="0" borderId="35" xfId="0" applyFont="1" applyBorder="1" applyAlignment="1">
      <alignment horizontal="center"/>
    </xf>
    <xf numFmtId="0" fontId="2" fillId="0" borderId="2" xfId="0" applyFont="1" applyBorder="1" applyAlignment="1">
      <alignment horizontal="center"/>
    </xf>
    <xf numFmtId="0" fontId="13" fillId="0" borderId="1" xfId="0" applyFont="1" applyBorder="1" applyAlignment="1">
      <alignment horizontal="center"/>
    </xf>
    <xf numFmtId="0" fontId="13" fillId="0" borderId="35" xfId="0" applyFont="1" applyBorder="1" applyAlignment="1">
      <alignment horizontal="center"/>
    </xf>
    <xf numFmtId="0" fontId="13" fillId="0" borderId="2" xfId="0" applyFont="1" applyBorder="1" applyAlignment="1">
      <alignment horizontal="center"/>
    </xf>
    <xf numFmtId="0" fontId="14" fillId="0" borderId="1" xfId="0" applyFont="1" applyBorder="1" applyAlignment="1">
      <alignment horizontal="center"/>
    </xf>
    <xf numFmtId="0" fontId="14" fillId="0" borderId="35" xfId="0" applyFont="1" applyBorder="1" applyAlignment="1">
      <alignment horizontal="center"/>
    </xf>
    <xf numFmtId="0" fontId="14" fillId="0" borderId="2"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49843</xdr:colOff>
      <xdr:row>1</xdr:row>
      <xdr:rowOff>85725</xdr:rowOff>
    </xdr:from>
    <xdr:to>
      <xdr:col>1</xdr:col>
      <xdr:colOff>701808</xdr:colOff>
      <xdr:row>3</xdr:row>
      <xdr:rowOff>161925</xdr:rowOff>
    </xdr:to>
    <xdr:sp macro="" textlink="">
      <xdr:nvSpPr>
        <xdr:cNvPr id="1027" name="Text Box 3"/>
        <xdr:cNvSpPr txBox="1">
          <a:spLocks noChangeArrowheads="1"/>
        </xdr:cNvSpPr>
      </xdr:nvSpPr>
      <xdr:spPr bwMode="auto">
        <a:xfrm>
          <a:off x="38100" y="247650"/>
          <a:ext cx="1933575" cy="342900"/>
        </a:xfrm>
        <a:prstGeom prst="rect">
          <a:avLst/>
        </a:prstGeom>
        <a:gradFill rotWithShape="0">
          <a:gsLst>
            <a:gs pos="0">
              <a:srgbClr val="CCECFF"/>
            </a:gs>
            <a:gs pos="100000">
              <a:srgbClr val="FFFFFF"/>
            </a:gs>
          </a:gsLst>
          <a:lin ang="5400000" scaled="1"/>
        </a:gradFill>
        <a:ln w="9525">
          <a:solidFill>
            <a:srgbClr val="000000"/>
          </a:solidFill>
          <a:miter lim="800000"/>
          <a:headEnd/>
          <a:tailEnd/>
        </a:ln>
        <a:effectLst>
          <a:outerShdw dist="35921" dir="2700000" algn="ctr" rotWithShape="0">
            <a:srgbClr val="808080"/>
          </a:outerShdw>
        </a:effec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Enter Information In Shaded Area Below</a:t>
          </a:r>
        </a:p>
      </xdr:txBody>
    </xdr:sp>
    <xdr:clientData fPrintsWithSheet="0"/>
  </xdr:twoCellAnchor>
  <xdr:twoCellAnchor>
    <xdr:from>
      <xdr:col>0</xdr:col>
      <xdr:colOff>0</xdr:colOff>
      <xdr:row>0</xdr:row>
      <xdr:rowOff>0</xdr:rowOff>
    </xdr:from>
    <xdr:to>
      <xdr:col>2</xdr:col>
      <xdr:colOff>178422</xdr:colOff>
      <xdr:row>1</xdr:row>
      <xdr:rowOff>57150</xdr:rowOff>
    </xdr:to>
    <xdr:sp macro="" textlink="">
      <xdr:nvSpPr>
        <xdr:cNvPr id="1028" name="Text Box 4"/>
        <xdr:cNvSpPr txBox="1">
          <a:spLocks noChangeArrowheads="1"/>
        </xdr:cNvSpPr>
      </xdr:nvSpPr>
      <xdr:spPr bwMode="auto">
        <a:xfrm>
          <a:off x="0" y="0"/>
          <a:ext cx="2257425" cy="219075"/>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WTA COST ESTIMATOR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59368</xdr:colOff>
      <xdr:row>0</xdr:row>
      <xdr:rowOff>142875</xdr:rowOff>
    </xdr:from>
    <xdr:to>
      <xdr:col>9</xdr:col>
      <xdr:colOff>540068</xdr:colOff>
      <xdr:row>35</xdr:row>
      <xdr:rowOff>123825</xdr:rowOff>
    </xdr:to>
    <xdr:sp macro="" textlink="">
      <xdr:nvSpPr>
        <xdr:cNvPr id="2049" name="Text Box 1"/>
        <xdr:cNvSpPr txBox="1">
          <a:spLocks noChangeArrowheads="1"/>
        </xdr:cNvSpPr>
      </xdr:nvSpPr>
      <xdr:spPr bwMode="auto">
        <a:xfrm>
          <a:off x="57150" y="495300"/>
          <a:ext cx="5934075" cy="564832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IMPORTANT!</a:t>
          </a:r>
          <a:r>
            <a:rPr lang="en-US" sz="1000" b="0" i="0" u="none" strike="noStrike" baseline="0">
              <a:solidFill>
                <a:srgbClr val="000000"/>
              </a:solidFill>
              <a:latin typeface="Arial"/>
              <a:cs typeface="Arial"/>
            </a:rPr>
            <a:t>  This version has no provision for the calculation of unemployment costs associated with lay-offs.  </a:t>
          </a:r>
          <a:r>
            <a:rPr lang="en-US" sz="1000" b="0" i="0" u="sng" strike="noStrike" baseline="0">
              <a:solidFill>
                <a:srgbClr val="000000"/>
              </a:solidFill>
              <a:latin typeface="Arial"/>
              <a:cs typeface="Arial"/>
            </a:rPr>
            <a:t>Unemployment costs must be taken under consideration</a:t>
          </a:r>
          <a:r>
            <a:rPr lang="en-US" sz="1000" b="0" i="0" u="none" strike="noStrike" baseline="0">
              <a:solidFill>
                <a:srgbClr val="000000"/>
              </a:solidFill>
              <a:latin typeface="Arial"/>
              <a:cs typeface="Arial"/>
            </a:rPr>
            <a:t> and the benefits that must be paid can be found in the </a:t>
          </a:r>
          <a:r>
            <a:rPr lang="en-US" sz="1000" b="0" i="1" u="none" strike="noStrike" baseline="0">
              <a:solidFill>
                <a:srgbClr val="000000"/>
              </a:solidFill>
              <a:latin typeface="Arial"/>
              <a:cs typeface="Arial"/>
            </a:rPr>
            <a:t>Code of Virginia</a:t>
          </a:r>
          <a:r>
            <a:rPr lang="en-US" sz="1000" b="0" i="0" u="none" strike="noStrike" baseline="0">
              <a:solidFill>
                <a:srgbClr val="000000"/>
              </a:solidFill>
              <a:latin typeface="Arial"/>
              <a:cs typeface="Arial"/>
            </a:rPr>
            <a:t> under Title 60.2, Chapter 6.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calculations in this spreadsheet are based upon Code of Virginia requirements, Department of Human Resource Management policies, and Virginia Retirement System form VRS-11.  The costs calculated are  total costs for the 12 months commencing with the proposed employee separation date and do not necessarily fall into one fiscal year or another.  Agencies should net the costs calculated in this spreadsheet against budgeted amounts for salaries and all associated benefits to calculate the savings amount for the first 12 months of separation.  Thereafter, the savings should be equal to the amounts budgeted for salaries and associated benefits.    </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INSTRUCTIONS: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1) Fill-in the yellow shaded areas of the spreadsheet only.  The remaining cells are calculated.  </a:t>
          </a:r>
        </a:p>
        <a:p>
          <a:pPr algn="l" rtl="0">
            <a:defRPr sz="1000"/>
          </a:pPr>
          <a:r>
            <a:rPr lang="en-US" sz="1000" b="0" i="0" u="none" strike="noStrike" baseline="0">
              <a:solidFill>
                <a:srgbClr val="000000"/>
              </a:solidFill>
              <a:latin typeface="Arial"/>
              <a:cs typeface="Arial"/>
            </a:rPr>
            <a:t>2) Most of the columns are self explanatory.  </a:t>
          </a:r>
        </a:p>
        <a:p>
          <a:pPr algn="l" rtl="0">
            <a:defRPr sz="1000"/>
          </a:pPr>
          <a:r>
            <a:rPr lang="en-US" sz="1000" b="0" i="0" u="none" strike="noStrike" baseline="0">
              <a:solidFill>
                <a:srgbClr val="000000"/>
              </a:solidFill>
              <a:latin typeface="Arial"/>
              <a:cs typeface="Arial"/>
            </a:rPr>
            <a:t>3) For salaries, exclude temporary pay but include other special rate, If any.</a:t>
          </a:r>
        </a:p>
        <a:p>
          <a:pPr algn="l" rtl="0">
            <a:defRPr sz="1000"/>
          </a:pPr>
          <a:r>
            <a:rPr lang="en-US" sz="1000" b="0" i="0" u="none" strike="noStrike" baseline="0">
              <a:solidFill>
                <a:srgbClr val="000000"/>
              </a:solidFill>
              <a:latin typeface="Arial"/>
              <a:cs typeface="Arial"/>
            </a:rPr>
            <a:t>4) The columns for health carrier, health coverage, VSDP participation, whether an employee is full-time and over 50, and whether an employee is vested in VRS are "drop-down" boxes where one and only one of the choices should be selected.  </a:t>
          </a:r>
        </a:p>
        <a:p>
          <a:pPr algn="l" rtl="0">
            <a:defRPr sz="1000"/>
          </a:pPr>
          <a:r>
            <a:rPr lang="en-US" sz="1000" b="0" i="0" u="none" strike="noStrike" baseline="0">
              <a:solidFill>
                <a:srgbClr val="000000"/>
              </a:solidFill>
              <a:latin typeface="Arial"/>
              <a:cs typeface="Arial"/>
            </a:rPr>
            <a:t>5) Enter the dates for the beginning of an employee's continuous service and proposed separation in the following format: MM/DD/YY (Where MM=month, DD=Day, and YY=Year). </a:t>
          </a:r>
        </a:p>
        <a:p>
          <a:pPr algn="l" rtl="0">
            <a:defRPr sz="1000"/>
          </a:pPr>
          <a:r>
            <a:rPr lang="en-US" sz="1000" b="0" i="0" u="none" strike="noStrike" baseline="0">
              <a:solidFill>
                <a:srgbClr val="000000"/>
              </a:solidFill>
              <a:latin typeface="Arial"/>
              <a:cs typeface="Arial"/>
            </a:rPr>
            <a:t>6) Enter all leave balances in terms of hours (</a:t>
          </a:r>
          <a:r>
            <a:rPr lang="en-US" sz="1000" b="0" i="0" u="sng" strike="noStrike" baseline="0">
              <a:solidFill>
                <a:srgbClr val="000000"/>
              </a:solidFill>
              <a:latin typeface="Arial"/>
              <a:cs typeface="Arial"/>
            </a:rPr>
            <a:t>not</a:t>
          </a:r>
          <a:r>
            <a:rPr lang="en-US" sz="1000" b="0" i="0" u="none" strike="noStrike" baseline="0">
              <a:solidFill>
                <a:srgbClr val="000000"/>
              </a:solidFill>
              <a:latin typeface="Arial"/>
              <a:cs typeface="Arial"/>
            </a:rPr>
            <a:t> days or weeks).</a:t>
          </a:r>
        </a:p>
        <a:p>
          <a:pPr algn="l" rtl="0">
            <a:defRPr sz="1000"/>
          </a:pPr>
          <a:r>
            <a:rPr lang="en-US" sz="1000" b="0" i="0" u="none" strike="noStrike" baseline="0">
              <a:solidFill>
                <a:srgbClr val="000000"/>
              </a:solidFill>
              <a:latin typeface="Arial"/>
              <a:cs typeface="Arial"/>
            </a:rPr>
            <a:t>7) The cost of benefits for both the severance option of WTA (See Section 2.2-3203 of the </a:t>
          </a:r>
          <a:r>
            <a:rPr lang="en-US" sz="1000" b="0" i="1" u="none" strike="noStrike" baseline="0">
              <a:solidFill>
                <a:srgbClr val="000000"/>
              </a:solidFill>
              <a:latin typeface="Arial"/>
              <a:cs typeface="Arial"/>
            </a:rPr>
            <a:t>Code of Virginia</a:t>
          </a:r>
          <a:r>
            <a:rPr lang="en-US" sz="1000" b="0" i="0" u="none" strike="noStrike" baseline="0">
              <a:solidFill>
                <a:srgbClr val="000000"/>
              </a:solidFill>
              <a:latin typeface="Arial"/>
              <a:cs typeface="Arial"/>
            </a:rPr>
            <a:t>) and the retirement option (See Section 2.2-3204 of the </a:t>
          </a:r>
          <a:r>
            <a:rPr lang="en-US" sz="1000" b="0" i="1" u="none" strike="noStrike" baseline="0">
              <a:solidFill>
                <a:srgbClr val="000000"/>
              </a:solidFill>
              <a:latin typeface="Arial"/>
              <a:cs typeface="Arial"/>
            </a:rPr>
            <a:t>Code of Virginia</a:t>
          </a:r>
          <a:r>
            <a:rPr lang="en-US" sz="1000" b="0" i="0" u="none" strike="noStrike" baseline="0">
              <a:solidFill>
                <a:srgbClr val="000000"/>
              </a:solidFill>
              <a:latin typeface="Arial"/>
              <a:cs typeface="Arial"/>
            </a:rPr>
            <a:t> if applicable) are calculated and can be found towards the right side of the sheet.  Only one of these two costs will apply, depending upon individual choice.</a:t>
          </a:r>
        </a:p>
        <a:p>
          <a:pPr algn="l" rtl="0">
            <a:defRPr sz="1000"/>
          </a:pPr>
          <a:r>
            <a:rPr lang="en-US" sz="1000" b="0" i="0" u="none" strike="noStrike" baseline="0">
              <a:solidFill>
                <a:srgbClr val="000000"/>
              </a:solidFill>
              <a:latin typeface="Arial"/>
              <a:cs typeface="Arial"/>
            </a:rPr>
            <a:t>8)   Special considerations regarding the retirement option:  A) If the employee’s age is younger than 55 after the credit is added, he or she must have a minimum of 10 years of service to retire under 50/10 retirement. B) Part-time classified employees do not qualify for the retirement option. C) While VRS will bill agencies for the service purchased immediately upon the retirement of the employee, by law agencies have 12 months to pay.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B23"/>
  <sheetViews>
    <sheetView showGridLines="0" tabSelected="1" zoomScaleNormal="100" zoomScaleSheetLayoutView="75" workbookViewId="0">
      <pane xSplit="2" ySplit="4" topLeftCell="C5" activePane="bottomRight" state="frozen"/>
      <selection pane="topRight" activeCell="C1" sqref="C1"/>
      <selection pane="bottomLeft" activeCell="A5" sqref="A5"/>
      <selection pane="bottomRight" activeCell="A5" sqref="A5"/>
    </sheetView>
  </sheetViews>
  <sheetFormatPr defaultRowHeight="12.75" x14ac:dyDescent="0.2"/>
  <cols>
    <col min="1" max="1" width="19.7109375" customWidth="1"/>
    <col min="2" max="2" width="11.5703125" bestFit="1" customWidth="1"/>
    <col min="3" max="3" width="12" bestFit="1" customWidth="1"/>
    <col min="4" max="4" width="17.85546875" customWidth="1"/>
    <col min="5" max="5" width="10.140625" style="44" customWidth="1"/>
    <col min="6" max="6" width="9.42578125" style="44" customWidth="1"/>
    <col min="7" max="8" width="8.5703125" customWidth="1"/>
    <col min="9" max="9" width="8.7109375" bestFit="1" customWidth="1"/>
    <col min="10" max="10" width="7.7109375" bestFit="1" customWidth="1"/>
    <col min="11" max="11" width="8.28515625" customWidth="1"/>
    <col min="12" max="12" width="7.7109375" bestFit="1" customWidth="1"/>
    <col min="13" max="13" width="8.42578125" bestFit="1" customWidth="1"/>
    <col min="14" max="14" width="9.85546875" customWidth="1"/>
    <col min="15" max="15" width="9.7109375" customWidth="1"/>
    <col min="16" max="16" width="8.5703125" bestFit="1" customWidth="1"/>
    <col min="18" max="19" width="9.140625" hidden="1" customWidth="1"/>
    <col min="20" max="20" width="6.85546875" customWidth="1"/>
    <col min="21" max="21" width="9" customWidth="1"/>
    <col min="22" max="22" width="9.85546875" customWidth="1"/>
    <col min="23" max="23" width="15.7109375" hidden="1" customWidth="1"/>
    <col min="24" max="24" width="10.5703125" customWidth="1"/>
    <col min="25" max="25" width="6.140625" bestFit="1" customWidth="1"/>
    <col min="26" max="26" width="9.140625" hidden="1" customWidth="1"/>
    <col min="27" max="27" width="9.7109375" hidden="1" customWidth="1"/>
    <col min="30" max="30" width="8.28515625" customWidth="1"/>
    <col min="31" max="31" width="8.28515625" bestFit="1" customWidth="1"/>
    <col min="32" max="32" width="8.85546875" bestFit="1" customWidth="1"/>
    <col min="33" max="33" width="10.28515625" customWidth="1"/>
    <col min="34" max="34" width="8.85546875" customWidth="1"/>
    <col min="35" max="35" width="1" customWidth="1"/>
    <col min="36" max="36" width="11.85546875" customWidth="1"/>
    <col min="37" max="38" width="11.28515625" customWidth="1"/>
    <col min="39" max="40" width="13.7109375" customWidth="1"/>
    <col min="41" max="41" width="1.7109375" customWidth="1"/>
    <col min="42" max="42" width="11.140625" customWidth="1"/>
    <col min="43" max="43" width="6.7109375" hidden="1" customWidth="1"/>
    <col min="44" max="44" width="12" bestFit="1" customWidth="1"/>
    <col min="45" max="45" width="11" customWidth="1"/>
    <col min="46" max="46" width="14.28515625" customWidth="1"/>
    <col min="47" max="47" width="1.5703125" customWidth="1"/>
    <col min="48" max="48" width="10.5703125" customWidth="1"/>
    <col min="49" max="49" width="10.85546875" bestFit="1" customWidth="1"/>
    <col min="50" max="50" width="10.140625" bestFit="1" customWidth="1"/>
  </cols>
  <sheetData>
    <row r="1" spans="1:54" x14ac:dyDescent="0.2">
      <c r="A1" s="66"/>
      <c r="B1" s="67"/>
      <c r="AK1" s="69"/>
      <c r="AP1" s="43"/>
      <c r="AQ1" s="43"/>
    </row>
    <row r="2" spans="1:54" ht="7.7" customHeight="1" thickBot="1" x14ac:dyDescent="0.25">
      <c r="A2" s="68"/>
      <c r="B2" s="67"/>
      <c r="AI2" s="106"/>
    </row>
    <row r="3" spans="1:54" ht="13.5" thickBot="1" x14ac:dyDescent="0.25">
      <c r="B3" s="140" t="s">
        <v>50</v>
      </c>
      <c r="C3" s="141"/>
      <c r="D3" s="141"/>
      <c r="E3" s="141"/>
      <c r="F3" s="141"/>
      <c r="G3" s="141"/>
      <c r="H3" s="141"/>
      <c r="I3" s="141"/>
      <c r="J3" s="141"/>
      <c r="K3" s="141"/>
      <c r="L3" s="141"/>
      <c r="M3" s="141"/>
      <c r="N3" s="141"/>
      <c r="O3" s="141"/>
      <c r="P3" s="142"/>
      <c r="Q3" s="140" t="s">
        <v>44</v>
      </c>
      <c r="R3" s="141"/>
      <c r="S3" s="141"/>
      <c r="T3" s="141"/>
      <c r="U3" s="141"/>
      <c r="V3" s="141"/>
      <c r="W3" s="141"/>
      <c r="X3" s="141"/>
      <c r="Y3" s="141"/>
      <c r="Z3" s="141"/>
      <c r="AA3" s="141"/>
      <c r="AB3" s="141"/>
      <c r="AC3" s="141"/>
      <c r="AD3" s="141"/>
      <c r="AE3" s="141"/>
      <c r="AF3" s="141"/>
      <c r="AG3" s="141"/>
      <c r="AH3" s="142"/>
      <c r="AI3" s="105"/>
      <c r="AJ3" s="149" t="s">
        <v>96</v>
      </c>
      <c r="AK3" s="150"/>
      <c r="AL3" s="150"/>
      <c r="AM3" s="150"/>
      <c r="AN3" s="151"/>
      <c r="AP3" s="146" t="s">
        <v>95</v>
      </c>
      <c r="AQ3" s="147"/>
      <c r="AR3" s="147"/>
      <c r="AS3" s="147"/>
      <c r="AT3" s="148"/>
      <c r="AV3" s="143" t="s">
        <v>97</v>
      </c>
      <c r="AW3" s="144"/>
      <c r="AX3" s="145"/>
      <c r="AY3" s="105"/>
      <c r="AZ3" s="105"/>
      <c r="BA3" s="106"/>
      <c r="BB3" s="106"/>
    </row>
    <row r="4" spans="1:54" s="10" customFormat="1" ht="57.75" customHeight="1" thickBot="1" x14ac:dyDescent="0.25">
      <c r="A4" s="124" t="s">
        <v>1</v>
      </c>
      <c r="B4" s="48" t="s">
        <v>3</v>
      </c>
      <c r="C4" s="50" t="s">
        <v>15</v>
      </c>
      <c r="D4" s="50" t="s">
        <v>4</v>
      </c>
      <c r="E4" s="50" t="s">
        <v>54</v>
      </c>
      <c r="F4" s="50" t="s">
        <v>0</v>
      </c>
      <c r="G4" s="50" t="s">
        <v>56</v>
      </c>
      <c r="H4" s="50" t="s">
        <v>51</v>
      </c>
      <c r="I4" s="50" t="s">
        <v>37</v>
      </c>
      <c r="J4" s="50" t="s">
        <v>17</v>
      </c>
      <c r="K4" s="50" t="s">
        <v>18</v>
      </c>
      <c r="L4" s="50" t="s">
        <v>19</v>
      </c>
      <c r="M4" s="50" t="s">
        <v>20</v>
      </c>
      <c r="N4" s="50" t="s">
        <v>42</v>
      </c>
      <c r="O4" s="50" t="s">
        <v>38</v>
      </c>
      <c r="P4" s="57" t="s">
        <v>39</v>
      </c>
      <c r="Q4" s="48" t="s">
        <v>7</v>
      </c>
      <c r="R4" s="49" t="s">
        <v>16</v>
      </c>
      <c r="S4" s="49" t="s">
        <v>22</v>
      </c>
      <c r="T4" s="50" t="s">
        <v>2</v>
      </c>
      <c r="U4" s="50" t="s">
        <v>6</v>
      </c>
      <c r="V4" s="50" t="s">
        <v>5</v>
      </c>
      <c r="W4" s="49" t="s">
        <v>48</v>
      </c>
      <c r="X4" s="50" t="s">
        <v>40</v>
      </c>
      <c r="Y4" s="50" t="s">
        <v>13</v>
      </c>
      <c r="Z4" s="49" t="s">
        <v>23</v>
      </c>
      <c r="AA4" s="49" t="s">
        <v>24</v>
      </c>
      <c r="AB4" s="50" t="s">
        <v>21</v>
      </c>
      <c r="AC4" s="50" t="s">
        <v>28</v>
      </c>
      <c r="AD4" s="50" t="s">
        <v>29</v>
      </c>
      <c r="AE4" s="50" t="s">
        <v>30</v>
      </c>
      <c r="AF4" s="50" t="s">
        <v>43</v>
      </c>
      <c r="AG4" s="50" t="s">
        <v>41</v>
      </c>
      <c r="AH4" s="57" t="s">
        <v>31</v>
      </c>
      <c r="AI4" s="126"/>
      <c r="AJ4" s="48" t="s">
        <v>32</v>
      </c>
      <c r="AK4" s="50" t="s">
        <v>33</v>
      </c>
      <c r="AL4" s="50" t="s">
        <v>45</v>
      </c>
      <c r="AM4" s="125" t="s">
        <v>46</v>
      </c>
      <c r="AN4" s="42" t="s">
        <v>47</v>
      </c>
      <c r="AP4" s="48" t="s">
        <v>101</v>
      </c>
      <c r="AQ4" s="49" t="s">
        <v>53</v>
      </c>
      <c r="AR4" s="50" t="s">
        <v>35</v>
      </c>
      <c r="AS4" s="50" t="s">
        <v>55</v>
      </c>
      <c r="AT4" s="51" t="s">
        <v>36</v>
      </c>
      <c r="AV4" s="107" t="s">
        <v>100</v>
      </c>
      <c r="AW4" s="108" t="s">
        <v>98</v>
      </c>
      <c r="AX4" s="109" t="s">
        <v>99</v>
      </c>
    </row>
    <row r="5" spans="1:54" ht="27.2" customHeight="1" x14ac:dyDescent="0.2">
      <c r="A5" s="118" t="s">
        <v>49</v>
      </c>
      <c r="B5" s="119">
        <v>50000</v>
      </c>
      <c r="C5" s="120" t="s">
        <v>94</v>
      </c>
      <c r="D5" s="120" t="s">
        <v>10</v>
      </c>
      <c r="E5" s="121">
        <v>38477</v>
      </c>
      <c r="F5" s="121">
        <v>41904</v>
      </c>
      <c r="G5" s="121" t="s">
        <v>26</v>
      </c>
      <c r="H5" s="121" t="s">
        <v>26</v>
      </c>
      <c r="I5" s="122" t="s">
        <v>27</v>
      </c>
      <c r="J5" s="122">
        <v>120</v>
      </c>
      <c r="K5" s="122">
        <v>300</v>
      </c>
      <c r="L5" s="122">
        <v>5</v>
      </c>
      <c r="M5" s="122">
        <v>8</v>
      </c>
      <c r="N5" s="122">
        <v>4</v>
      </c>
      <c r="O5" s="122">
        <v>16</v>
      </c>
      <c r="P5" s="123">
        <v>0</v>
      </c>
      <c r="Q5" s="70">
        <f>B5/52</f>
        <v>961.53846153846155</v>
      </c>
      <c r="R5" s="54">
        <f>B5/2080</f>
        <v>24.03846153846154</v>
      </c>
      <c r="S5" s="54">
        <f>(F5-E5)/365</f>
        <v>9.3890410958904109</v>
      </c>
      <c r="T5" s="55">
        <f>ROUNDUP((F5-E5)/365,0)</f>
        <v>10</v>
      </c>
      <c r="U5" s="55">
        <f>IF(T5&gt;17,36,IF(AND(T5&gt;14,T5&lt;18),2*T5,IF(AND(T5&gt;9,T5&lt;15),12+(2*(T5-9)),IF(AND(T5&gt;2,T5&lt;10),4+(T5-2),IF(T5&lt;3,4)))))</f>
        <v>14</v>
      </c>
      <c r="V5" s="71">
        <f>U5*Q5</f>
        <v>13461.538461538461</v>
      </c>
      <c r="W5" s="59" t="str">
        <f>D5</f>
        <v>Family</v>
      </c>
      <c r="X5" s="56">
        <f>IF(C5="WaivedCoverage",0,IF(C5="",0,INDEX(Rates!$B$5:$G$10,MATCH(C5,Rates!$B$5:$B$10,),MATCH(W5,Rates!$B$5:$F$5,))))</f>
        <v>18756</v>
      </c>
      <c r="Y5" s="56">
        <f>Rates!$F$2*B5</f>
        <v>655</v>
      </c>
      <c r="Z5" s="56">
        <f>J5*R5</f>
        <v>2884.6153846153848</v>
      </c>
      <c r="AA5" s="56">
        <f>IF(S5&gt;=20,336*R5,IF(AND(S5&gt;=10,S5&lt;20),288*R5,IF(AND(S5&gt;=5,S5&lt;10),240*R5,192*R5)))</f>
        <v>5769.2307692307695</v>
      </c>
      <c r="AB5" s="71">
        <f>IF(Z5&lt;AA5,Z5,AA5)</f>
        <v>2884.6153846153848</v>
      </c>
      <c r="AC5" s="71">
        <f>IF(I5="Yes",0,IF(S5&lt;5,0,IF(K5*R5*0.25&gt;5000,5000,K5*R5*0.25)))</f>
        <v>1802.8846153846155</v>
      </c>
      <c r="AD5" s="71">
        <f>$R5*L5</f>
        <v>120.19230769230771</v>
      </c>
      <c r="AE5" s="71">
        <f>$R5*M5</f>
        <v>192.30769230769232</v>
      </c>
      <c r="AF5" s="71">
        <f>$R5*N5</f>
        <v>96.15384615384616</v>
      </c>
      <c r="AG5" s="71">
        <f>$R5*O5</f>
        <v>384.61538461538464</v>
      </c>
      <c r="AH5" s="129">
        <f>IF(I5="No",0,IF(S5&lt;5,0,IF(P5*R5*0.25&gt;5000,5000,P5*R5*0.25)))</f>
        <v>0</v>
      </c>
      <c r="AI5" s="127"/>
      <c r="AJ5" s="72">
        <f>V5+X5+Y5</f>
        <v>32872.538461538461</v>
      </c>
      <c r="AK5" s="73">
        <f>AB5+AC5+AD5+AE5+AF5+AG5+AH5</f>
        <v>5480.7692307692305</v>
      </c>
      <c r="AL5" s="73">
        <f>(V5+AK5)*0.0765</f>
        <v>1449.0865384615383</v>
      </c>
      <c r="AM5" s="74">
        <f>AJ5+AK5</f>
        <v>38353.307692307688</v>
      </c>
      <c r="AN5" s="75">
        <f>AJ5+AK5+AL5</f>
        <v>39802.394230769227</v>
      </c>
      <c r="AP5" s="47">
        <f>IF(G5="No",0,IF(AQ5="No",0,ROUNDUP(AJ5/(B5*0.15),0)))</f>
        <v>5</v>
      </c>
      <c r="AQ5" s="63" t="str">
        <f>IF(S5&gt;=5,"Yes",IF(H5="","No",H5))</f>
        <v>Yes</v>
      </c>
      <c r="AR5" s="73">
        <f>(AP5*(B5*0.15))</f>
        <v>37500</v>
      </c>
      <c r="AS5" s="73">
        <f t="shared" ref="AS5:AS22" si="0">IF(AP5=0,0,(AK5+(AK5*0.0765)))</f>
        <v>5900.0480769230762</v>
      </c>
      <c r="AT5" s="76">
        <f>AR5+AS5</f>
        <v>43400.048076923078</v>
      </c>
      <c r="AV5" s="111">
        <f>V5</f>
        <v>13461.538461538461</v>
      </c>
      <c r="AW5" s="110">
        <f>AB5+AC5+AD5+AE5+AF5+AG5+AH5</f>
        <v>5480.7692307692305</v>
      </c>
      <c r="AX5" s="112">
        <f>AV5+AW5</f>
        <v>18942.307692307691</v>
      </c>
    </row>
    <row r="6" spans="1:54" ht="27.2" customHeight="1" x14ac:dyDescent="0.2">
      <c r="A6" s="116"/>
      <c r="B6" s="117">
        <v>0</v>
      </c>
      <c r="C6" s="28"/>
      <c r="D6" s="28"/>
      <c r="E6" s="29"/>
      <c r="F6" s="29"/>
      <c r="G6" s="29"/>
      <c r="H6" s="29"/>
      <c r="I6" s="30"/>
      <c r="J6" s="30">
        <v>0</v>
      </c>
      <c r="K6" s="30">
        <v>0</v>
      </c>
      <c r="L6" s="30">
        <v>0</v>
      </c>
      <c r="M6" s="30">
        <v>0</v>
      </c>
      <c r="N6" s="30">
        <v>0</v>
      </c>
      <c r="O6" s="30">
        <v>0</v>
      </c>
      <c r="P6" s="38">
        <v>0</v>
      </c>
      <c r="Q6" s="34">
        <f t="shared" ref="Q6:Q22" si="1">B6/52</f>
        <v>0</v>
      </c>
      <c r="R6" s="14">
        <f t="shared" ref="R6:R22" si="2">B6/2080</f>
        <v>0</v>
      </c>
      <c r="S6" s="14">
        <f t="shared" ref="S6:S22" si="3">(F6-E6)/365</f>
        <v>0</v>
      </c>
      <c r="T6" s="13">
        <f t="shared" ref="T6:T22" si="4">ROUNDUP((F6-E6)/365,0)</f>
        <v>0</v>
      </c>
      <c r="U6" s="15">
        <f t="shared" ref="U6:U22" si="5">IF(T6&gt;17,36,IF(AND(T6&gt;14,T6&lt;18),2*T6,IF(AND(T6&gt;9,T6&lt;15),12+(2*(T6-9)),IF(AND(T6&gt;2,T6&lt;10),4+(T6-2),IF(T6&lt;3,4)))))</f>
        <v>4</v>
      </c>
      <c r="V6" s="12">
        <f t="shared" ref="V6:V22" si="6">ROUND(U6*Q6,0)</f>
        <v>0</v>
      </c>
      <c r="W6" s="60">
        <f t="shared" ref="W6:W22" si="7">D6</f>
        <v>0</v>
      </c>
      <c r="X6" s="12">
        <f>IF(C6="WaivedCoverage",0,IF(C6="",0,INDEX(Rates!$B$5:$G$10,MATCH(C6,Rates!$B$5:$B$10,),MATCH(W6,Rates!$B$5:$F$5,))))</f>
        <v>0</v>
      </c>
      <c r="Y6" s="12">
        <f>Rates!$F$2*B6</f>
        <v>0</v>
      </c>
      <c r="Z6" s="12">
        <f t="shared" ref="Z6:Z22" si="8">J6*R6</f>
        <v>0</v>
      </c>
      <c r="AA6" s="12">
        <f t="shared" ref="AA6:AA22" si="9">IF(S6&gt;=20,336*R6,IF(AND(S6&gt;=10,S6&lt;20),288*R6,IF(AND(S6&gt;=5,S6&lt;10),240*R6,192*R6)))</f>
        <v>0</v>
      </c>
      <c r="AB6" s="12">
        <f t="shared" ref="AB6:AB22" si="10">IF(Z6&lt;AA6,Z6,AA6)</f>
        <v>0</v>
      </c>
      <c r="AC6" s="12">
        <f t="shared" ref="AC6:AC22" si="11">IF(I6="Yes",0,IF(S6&lt;5,0,IF(ROUND(K6*R6*0.25,0)&gt;5000,5000,ROUND(K6*R6*0.25,0))))</f>
        <v>0</v>
      </c>
      <c r="AD6" s="12">
        <f t="shared" ref="AD6:AD22" si="12">ROUND($R6*L6,0)</f>
        <v>0</v>
      </c>
      <c r="AE6" s="12">
        <f t="shared" ref="AE6:AE22" si="13">ROUND($R6*M6,0)</f>
        <v>0</v>
      </c>
      <c r="AF6" s="12">
        <f t="shared" ref="AF6:AF22" si="14">ROUND($R6*N6,0)</f>
        <v>0</v>
      </c>
      <c r="AG6" s="12">
        <f t="shared" ref="AG6:AG22" si="15">ROUND($R6*O6,0)</f>
        <v>0</v>
      </c>
      <c r="AH6" s="35">
        <f t="shared" ref="AH6:AH22" si="16">IF(I6="No",0,IF(S6&lt;5,0,IF(ROUND(P6*R6*0.25,0)&gt;5000,5000,ROUND(P6*R6*0.25,0))))</f>
        <v>0</v>
      </c>
      <c r="AI6" s="128"/>
      <c r="AJ6" s="17">
        <f t="shared" ref="AJ6:AJ22" si="17">V6+X6+Y6</f>
        <v>0</v>
      </c>
      <c r="AK6" s="16">
        <f t="shared" ref="AK6:AK22" si="18">AB6+AC6+AD6+AE6+AF6+AG6+AH6</f>
        <v>0</v>
      </c>
      <c r="AL6" s="16">
        <f t="shared" ref="AL6:AL22" si="19">(V6+AK6)*0.0765</f>
        <v>0</v>
      </c>
      <c r="AM6" s="45">
        <f t="shared" ref="AM6:AM22" si="20">AJ6+AK6</f>
        <v>0</v>
      </c>
      <c r="AN6" s="40">
        <f t="shared" ref="AN6:AN22" si="21">AJ6+AK6+AL6</f>
        <v>0</v>
      </c>
      <c r="AP6" s="22">
        <f t="shared" ref="AP6:AP22" si="22">IF(G6="No",0,IF(AQ6="No",0,ROUNDUP(AJ6/(B6*0.15),0)))</f>
        <v>0</v>
      </c>
      <c r="AQ6" s="64" t="str">
        <f t="shared" ref="AQ6:AQ22" si="23">IF(S6&gt;=5,"Yes",IF(H6="","No",H6))</f>
        <v>No</v>
      </c>
      <c r="AR6" s="16">
        <f t="shared" ref="AR6:AR22" si="24">ROUND((AP6*(B6*0.15)),0)</f>
        <v>0</v>
      </c>
      <c r="AS6" s="16">
        <f t="shared" si="0"/>
        <v>0</v>
      </c>
      <c r="AT6" s="18">
        <f t="shared" ref="AT6:AT22" si="25">AR6+AS6</f>
        <v>0</v>
      </c>
      <c r="AV6" s="111">
        <f t="shared" ref="AV6:AV22" si="26">V6</f>
        <v>0</v>
      </c>
      <c r="AW6" s="110">
        <f t="shared" ref="AW6:AW22" si="27">AB6+AC6+AD6+AE6+AF6+AG6+AH6</f>
        <v>0</v>
      </c>
      <c r="AX6" s="112">
        <f t="shared" ref="AX6:AX22" si="28">AV6+AW6</f>
        <v>0</v>
      </c>
    </row>
    <row r="7" spans="1:54" ht="27.2" customHeight="1" x14ac:dyDescent="0.2">
      <c r="A7" s="116"/>
      <c r="B7" s="117">
        <v>0</v>
      </c>
      <c r="C7" s="28"/>
      <c r="D7" s="28"/>
      <c r="E7" s="29"/>
      <c r="F7" s="29"/>
      <c r="G7" s="29"/>
      <c r="H7" s="29"/>
      <c r="I7" s="30"/>
      <c r="J7" s="30">
        <v>0</v>
      </c>
      <c r="K7" s="30">
        <v>0</v>
      </c>
      <c r="L7" s="30">
        <v>0</v>
      </c>
      <c r="M7" s="30">
        <v>0</v>
      </c>
      <c r="N7" s="30">
        <v>0</v>
      </c>
      <c r="O7" s="30">
        <v>0</v>
      </c>
      <c r="P7" s="38">
        <v>0</v>
      </c>
      <c r="Q7" s="34">
        <f t="shared" si="1"/>
        <v>0</v>
      </c>
      <c r="R7" s="14">
        <f t="shared" si="2"/>
        <v>0</v>
      </c>
      <c r="S7" s="14">
        <f t="shared" si="3"/>
        <v>0</v>
      </c>
      <c r="T7" s="13">
        <f t="shared" si="4"/>
        <v>0</v>
      </c>
      <c r="U7" s="15">
        <f t="shared" si="5"/>
        <v>4</v>
      </c>
      <c r="V7" s="12">
        <f t="shared" si="6"/>
        <v>0</v>
      </c>
      <c r="W7" s="60">
        <f t="shared" si="7"/>
        <v>0</v>
      </c>
      <c r="X7" s="12">
        <f>IF(C7="WaivedCoverage",0,IF(C7="",0,INDEX(Rates!$B$5:$G$10,MATCH(C7,Rates!$B$5:$B$10,),MATCH(W7,Rates!$B$5:$F$5,))))</f>
        <v>0</v>
      </c>
      <c r="Y7" s="12">
        <f>Rates!$F$2*B7</f>
        <v>0</v>
      </c>
      <c r="Z7" s="12">
        <f t="shared" si="8"/>
        <v>0</v>
      </c>
      <c r="AA7" s="12">
        <f t="shared" si="9"/>
        <v>0</v>
      </c>
      <c r="AB7" s="12">
        <f t="shared" si="10"/>
        <v>0</v>
      </c>
      <c r="AC7" s="12">
        <f t="shared" si="11"/>
        <v>0</v>
      </c>
      <c r="AD7" s="12">
        <f t="shared" si="12"/>
        <v>0</v>
      </c>
      <c r="AE7" s="12">
        <f t="shared" si="13"/>
        <v>0</v>
      </c>
      <c r="AF7" s="12">
        <f t="shared" si="14"/>
        <v>0</v>
      </c>
      <c r="AG7" s="12">
        <f t="shared" si="15"/>
        <v>0</v>
      </c>
      <c r="AH7" s="35">
        <f t="shared" si="16"/>
        <v>0</v>
      </c>
      <c r="AI7" s="128"/>
      <c r="AJ7" s="17">
        <f t="shared" si="17"/>
        <v>0</v>
      </c>
      <c r="AK7" s="16">
        <f t="shared" si="18"/>
        <v>0</v>
      </c>
      <c r="AL7" s="16">
        <f t="shared" si="19"/>
        <v>0</v>
      </c>
      <c r="AM7" s="45">
        <f t="shared" si="20"/>
        <v>0</v>
      </c>
      <c r="AN7" s="40">
        <f t="shared" si="21"/>
        <v>0</v>
      </c>
      <c r="AP7" s="22">
        <f t="shared" si="22"/>
        <v>0</v>
      </c>
      <c r="AQ7" s="64" t="str">
        <f t="shared" si="23"/>
        <v>No</v>
      </c>
      <c r="AR7" s="16">
        <f t="shared" si="24"/>
        <v>0</v>
      </c>
      <c r="AS7" s="16">
        <f t="shared" si="0"/>
        <v>0</v>
      </c>
      <c r="AT7" s="18">
        <f t="shared" si="25"/>
        <v>0</v>
      </c>
      <c r="AV7" s="111">
        <f t="shared" si="26"/>
        <v>0</v>
      </c>
      <c r="AW7" s="110">
        <f t="shared" si="27"/>
        <v>0</v>
      </c>
      <c r="AX7" s="112">
        <f t="shared" si="28"/>
        <v>0</v>
      </c>
    </row>
    <row r="8" spans="1:54" ht="27.2" customHeight="1" x14ac:dyDescent="0.2">
      <c r="A8" s="116"/>
      <c r="B8" s="117">
        <v>0</v>
      </c>
      <c r="C8" s="28"/>
      <c r="D8" s="28"/>
      <c r="E8" s="29"/>
      <c r="F8" s="29"/>
      <c r="G8" s="29"/>
      <c r="H8" s="29"/>
      <c r="I8" s="30"/>
      <c r="J8" s="30">
        <v>0</v>
      </c>
      <c r="K8" s="30">
        <v>0</v>
      </c>
      <c r="L8" s="30">
        <v>0</v>
      </c>
      <c r="M8" s="30">
        <v>0</v>
      </c>
      <c r="N8" s="30">
        <v>0</v>
      </c>
      <c r="O8" s="30">
        <v>0</v>
      </c>
      <c r="P8" s="38">
        <v>0</v>
      </c>
      <c r="Q8" s="34">
        <f t="shared" si="1"/>
        <v>0</v>
      </c>
      <c r="R8" s="14">
        <f t="shared" si="2"/>
        <v>0</v>
      </c>
      <c r="S8" s="14">
        <f t="shared" si="3"/>
        <v>0</v>
      </c>
      <c r="T8" s="13">
        <f t="shared" si="4"/>
        <v>0</v>
      </c>
      <c r="U8" s="15">
        <f t="shared" si="5"/>
        <v>4</v>
      </c>
      <c r="V8" s="12">
        <f t="shared" si="6"/>
        <v>0</v>
      </c>
      <c r="W8" s="60">
        <f t="shared" si="7"/>
        <v>0</v>
      </c>
      <c r="X8" s="12">
        <f>IF(C8="WaivedCoverage",0,IF(C8="",0,INDEX(Rates!$B$5:$G$10,MATCH(C8,Rates!$B$5:$B$10,),MATCH(W8,Rates!$B$5:$F$5,))))</f>
        <v>0</v>
      </c>
      <c r="Y8" s="12">
        <f>Rates!$F$2*B8</f>
        <v>0</v>
      </c>
      <c r="Z8" s="12">
        <f t="shared" si="8"/>
        <v>0</v>
      </c>
      <c r="AA8" s="12">
        <f t="shared" si="9"/>
        <v>0</v>
      </c>
      <c r="AB8" s="12">
        <f t="shared" si="10"/>
        <v>0</v>
      </c>
      <c r="AC8" s="12">
        <f t="shared" si="11"/>
        <v>0</v>
      </c>
      <c r="AD8" s="12">
        <f t="shared" si="12"/>
        <v>0</v>
      </c>
      <c r="AE8" s="12">
        <f t="shared" si="13"/>
        <v>0</v>
      </c>
      <c r="AF8" s="12">
        <f t="shared" si="14"/>
        <v>0</v>
      </c>
      <c r="AG8" s="12">
        <f t="shared" si="15"/>
        <v>0</v>
      </c>
      <c r="AH8" s="35">
        <f t="shared" si="16"/>
        <v>0</v>
      </c>
      <c r="AI8" s="128"/>
      <c r="AJ8" s="17">
        <f t="shared" si="17"/>
        <v>0</v>
      </c>
      <c r="AK8" s="16">
        <f t="shared" si="18"/>
        <v>0</v>
      </c>
      <c r="AL8" s="16">
        <f t="shared" si="19"/>
        <v>0</v>
      </c>
      <c r="AM8" s="45">
        <f t="shared" si="20"/>
        <v>0</v>
      </c>
      <c r="AN8" s="40">
        <f t="shared" si="21"/>
        <v>0</v>
      </c>
      <c r="AP8" s="22">
        <f t="shared" si="22"/>
        <v>0</v>
      </c>
      <c r="AQ8" s="64" t="str">
        <f t="shared" si="23"/>
        <v>No</v>
      </c>
      <c r="AR8" s="16">
        <f t="shared" si="24"/>
        <v>0</v>
      </c>
      <c r="AS8" s="16">
        <f t="shared" si="0"/>
        <v>0</v>
      </c>
      <c r="AT8" s="18">
        <f t="shared" si="25"/>
        <v>0</v>
      </c>
      <c r="AV8" s="111">
        <f t="shared" si="26"/>
        <v>0</v>
      </c>
      <c r="AW8" s="110">
        <f t="shared" si="27"/>
        <v>0</v>
      </c>
      <c r="AX8" s="112">
        <f t="shared" si="28"/>
        <v>0</v>
      </c>
    </row>
    <row r="9" spans="1:54" ht="27.2" customHeight="1" x14ac:dyDescent="0.2">
      <c r="A9" s="116"/>
      <c r="B9" s="117">
        <v>0</v>
      </c>
      <c r="C9" s="28"/>
      <c r="D9" s="28"/>
      <c r="E9" s="29"/>
      <c r="F9" s="29"/>
      <c r="G9" s="29"/>
      <c r="H9" s="29"/>
      <c r="I9" s="30"/>
      <c r="J9" s="30">
        <v>0</v>
      </c>
      <c r="K9" s="30">
        <v>0</v>
      </c>
      <c r="L9" s="30">
        <v>0</v>
      </c>
      <c r="M9" s="30">
        <v>0</v>
      </c>
      <c r="N9" s="30">
        <v>0</v>
      </c>
      <c r="O9" s="30">
        <v>0</v>
      </c>
      <c r="P9" s="38">
        <v>0</v>
      </c>
      <c r="Q9" s="34">
        <f t="shared" si="1"/>
        <v>0</v>
      </c>
      <c r="R9" s="14">
        <f t="shared" si="2"/>
        <v>0</v>
      </c>
      <c r="S9" s="14">
        <f t="shared" si="3"/>
        <v>0</v>
      </c>
      <c r="T9" s="13">
        <f t="shared" si="4"/>
        <v>0</v>
      </c>
      <c r="U9" s="15">
        <f t="shared" si="5"/>
        <v>4</v>
      </c>
      <c r="V9" s="12">
        <f t="shared" si="6"/>
        <v>0</v>
      </c>
      <c r="W9" s="60">
        <f t="shared" si="7"/>
        <v>0</v>
      </c>
      <c r="X9" s="12">
        <f>IF(C9="WaivedCoverage",0,IF(C9="",0,INDEX(Rates!$B$5:$G$10,MATCH(C9,Rates!$B$5:$B$10,),MATCH(W9,Rates!$B$5:$F$5,))))</f>
        <v>0</v>
      </c>
      <c r="Y9" s="12">
        <f>Rates!$F$2*B9</f>
        <v>0</v>
      </c>
      <c r="Z9" s="12">
        <f t="shared" si="8"/>
        <v>0</v>
      </c>
      <c r="AA9" s="12">
        <f t="shared" si="9"/>
        <v>0</v>
      </c>
      <c r="AB9" s="12">
        <f t="shared" si="10"/>
        <v>0</v>
      </c>
      <c r="AC9" s="12">
        <f t="shared" si="11"/>
        <v>0</v>
      </c>
      <c r="AD9" s="12">
        <f t="shared" si="12"/>
        <v>0</v>
      </c>
      <c r="AE9" s="12">
        <f t="shared" si="13"/>
        <v>0</v>
      </c>
      <c r="AF9" s="12">
        <f t="shared" si="14"/>
        <v>0</v>
      </c>
      <c r="AG9" s="12">
        <f t="shared" si="15"/>
        <v>0</v>
      </c>
      <c r="AH9" s="35">
        <f t="shared" si="16"/>
        <v>0</v>
      </c>
      <c r="AI9" s="128"/>
      <c r="AJ9" s="17">
        <f t="shared" si="17"/>
        <v>0</v>
      </c>
      <c r="AK9" s="16">
        <f t="shared" si="18"/>
        <v>0</v>
      </c>
      <c r="AL9" s="16">
        <f t="shared" si="19"/>
        <v>0</v>
      </c>
      <c r="AM9" s="45">
        <f t="shared" si="20"/>
        <v>0</v>
      </c>
      <c r="AN9" s="40">
        <f t="shared" si="21"/>
        <v>0</v>
      </c>
      <c r="AP9" s="22">
        <f t="shared" si="22"/>
        <v>0</v>
      </c>
      <c r="AQ9" s="64" t="str">
        <f t="shared" si="23"/>
        <v>No</v>
      </c>
      <c r="AR9" s="16">
        <f t="shared" si="24"/>
        <v>0</v>
      </c>
      <c r="AS9" s="16">
        <f t="shared" si="0"/>
        <v>0</v>
      </c>
      <c r="AT9" s="18">
        <f t="shared" si="25"/>
        <v>0</v>
      </c>
      <c r="AV9" s="111">
        <f t="shared" si="26"/>
        <v>0</v>
      </c>
      <c r="AW9" s="110">
        <f t="shared" si="27"/>
        <v>0</v>
      </c>
      <c r="AX9" s="112">
        <f t="shared" si="28"/>
        <v>0</v>
      </c>
    </row>
    <row r="10" spans="1:54" ht="27.2" customHeight="1" x14ac:dyDescent="0.2">
      <c r="A10" s="116"/>
      <c r="B10" s="117">
        <v>0</v>
      </c>
      <c r="C10" s="28"/>
      <c r="D10" s="28"/>
      <c r="E10" s="29"/>
      <c r="F10" s="29"/>
      <c r="G10" s="29"/>
      <c r="H10" s="29"/>
      <c r="I10" s="30"/>
      <c r="J10" s="30">
        <v>0</v>
      </c>
      <c r="K10" s="30">
        <v>0</v>
      </c>
      <c r="L10" s="30">
        <v>0</v>
      </c>
      <c r="M10" s="30">
        <v>0</v>
      </c>
      <c r="N10" s="30">
        <v>0</v>
      </c>
      <c r="O10" s="30">
        <v>0</v>
      </c>
      <c r="P10" s="38">
        <v>0</v>
      </c>
      <c r="Q10" s="34">
        <f t="shared" si="1"/>
        <v>0</v>
      </c>
      <c r="R10" s="14">
        <f t="shared" si="2"/>
        <v>0</v>
      </c>
      <c r="S10" s="14">
        <f t="shared" si="3"/>
        <v>0</v>
      </c>
      <c r="T10" s="13">
        <f t="shared" si="4"/>
        <v>0</v>
      </c>
      <c r="U10" s="15">
        <f t="shared" si="5"/>
        <v>4</v>
      </c>
      <c r="V10" s="12">
        <f t="shared" si="6"/>
        <v>0</v>
      </c>
      <c r="W10" s="60">
        <f t="shared" si="7"/>
        <v>0</v>
      </c>
      <c r="X10" s="12">
        <f>IF(C10="WaivedCoverage",0,IF(C10="",0,INDEX(Rates!$B$5:$G$10,MATCH(C10,Rates!$B$5:$B$10,),MATCH(W10,Rates!$B$5:$F$5,))))</f>
        <v>0</v>
      </c>
      <c r="Y10" s="12">
        <f>Rates!$F$2*B10</f>
        <v>0</v>
      </c>
      <c r="Z10" s="12">
        <f t="shared" si="8"/>
        <v>0</v>
      </c>
      <c r="AA10" s="12">
        <f t="shared" si="9"/>
        <v>0</v>
      </c>
      <c r="AB10" s="12">
        <f t="shared" si="10"/>
        <v>0</v>
      </c>
      <c r="AC10" s="12">
        <f t="shared" si="11"/>
        <v>0</v>
      </c>
      <c r="AD10" s="12">
        <f t="shared" si="12"/>
        <v>0</v>
      </c>
      <c r="AE10" s="12">
        <f t="shared" si="13"/>
        <v>0</v>
      </c>
      <c r="AF10" s="12">
        <f t="shared" si="14"/>
        <v>0</v>
      </c>
      <c r="AG10" s="12">
        <f t="shared" si="15"/>
        <v>0</v>
      </c>
      <c r="AH10" s="35">
        <f t="shared" si="16"/>
        <v>0</v>
      </c>
      <c r="AI10" s="128"/>
      <c r="AJ10" s="17">
        <f t="shared" si="17"/>
        <v>0</v>
      </c>
      <c r="AK10" s="16">
        <f t="shared" si="18"/>
        <v>0</v>
      </c>
      <c r="AL10" s="16">
        <f t="shared" si="19"/>
        <v>0</v>
      </c>
      <c r="AM10" s="45">
        <f t="shared" si="20"/>
        <v>0</v>
      </c>
      <c r="AN10" s="40">
        <f t="shared" si="21"/>
        <v>0</v>
      </c>
      <c r="AP10" s="22">
        <f t="shared" si="22"/>
        <v>0</v>
      </c>
      <c r="AQ10" s="64" t="str">
        <f t="shared" si="23"/>
        <v>No</v>
      </c>
      <c r="AR10" s="16">
        <f t="shared" si="24"/>
        <v>0</v>
      </c>
      <c r="AS10" s="16">
        <f t="shared" si="0"/>
        <v>0</v>
      </c>
      <c r="AT10" s="18">
        <f t="shared" si="25"/>
        <v>0</v>
      </c>
      <c r="AV10" s="111">
        <f t="shared" si="26"/>
        <v>0</v>
      </c>
      <c r="AW10" s="110">
        <f t="shared" si="27"/>
        <v>0</v>
      </c>
      <c r="AX10" s="112">
        <f t="shared" si="28"/>
        <v>0</v>
      </c>
    </row>
    <row r="11" spans="1:54" ht="27.2" customHeight="1" x14ac:dyDescent="0.2">
      <c r="A11" s="116"/>
      <c r="B11" s="117">
        <v>0</v>
      </c>
      <c r="C11" s="28"/>
      <c r="D11" s="28"/>
      <c r="E11" s="29"/>
      <c r="F11" s="29"/>
      <c r="G11" s="29"/>
      <c r="H11" s="29"/>
      <c r="I11" s="30"/>
      <c r="J11" s="30">
        <v>0</v>
      </c>
      <c r="K11" s="30">
        <v>0</v>
      </c>
      <c r="L11" s="30">
        <v>0</v>
      </c>
      <c r="M11" s="30">
        <v>0</v>
      </c>
      <c r="N11" s="30">
        <v>0</v>
      </c>
      <c r="O11" s="30">
        <v>0</v>
      </c>
      <c r="P11" s="38">
        <v>0</v>
      </c>
      <c r="Q11" s="34">
        <f t="shared" si="1"/>
        <v>0</v>
      </c>
      <c r="R11" s="14">
        <f t="shared" si="2"/>
        <v>0</v>
      </c>
      <c r="S11" s="14">
        <f t="shared" si="3"/>
        <v>0</v>
      </c>
      <c r="T11" s="13">
        <f t="shared" si="4"/>
        <v>0</v>
      </c>
      <c r="U11" s="15">
        <f t="shared" si="5"/>
        <v>4</v>
      </c>
      <c r="V11" s="12">
        <f t="shared" si="6"/>
        <v>0</v>
      </c>
      <c r="W11" s="60">
        <f t="shared" si="7"/>
        <v>0</v>
      </c>
      <c r="X11" s="12">
        <f>IF(C11="WaivedCoverage",0,IF(C11="",0,INDEX(Rates!$B$5:$G$10,MATCH(C11,Rates!$B$5:$B$10,),MATCH(W11,Rates!$B$5:$F$5,))))</f>
        <v>0</v>
      </c>
      <c r="Y11" s="12">
        <f>Rates!$F$2*B11</f>
        <v>0</v>
      </c>
      <c r="Z11" s="12">
        <f t="shared" si="8"/>
        <v>0</v>
      </c>
      <c r="AA11" s="12">
        <f t="shared" si="9"/>
        <v>0</v>
      </c>
      <c r="AB11" s="12">
        <f t="shared" si="10"/>
        <v>0</v>
      </c>
      <c r="AC11" s="12">
        <f t="shared" si="11"/>
        <v>0</v>
      </c>
      <c r="AD11" s="12">
        <f t="shared" si="12"/>
        <v>0</v>
      </c>
      <c r="AE11" s="12">
        <f t="shared" si="13"/>
        <v>0</v>
      </c>
      <c r="AF11" s="12">
        <f t="shared" si="14"/>
        <v>0</v>
      </c>
      <c r="AG11" s="12">
        <f t="shared" si="15"/>
        <v>0</v>
      </c>
      <c r="AH11" s="35">
        <f t="shared" si="16"/>
        <v>0</v>
      </c>
      <c r="AI11" s="128"/>
      <c r="AJ11" s="17">
        <f t="shared" si="17"/>
        <v>0</v>
      </c>
      <c r="AK11" s="16">
        <f t="shared" si="18"/>
        <v>0</v>
      </c>
      <c r="AL11" s="16">
        <f t="shared" si="19"/>
        <v>0</v>
      </c>
      <c r="AM11" s="45">
        <f t="shared" si="20"/>
        <v>0</v>
      </c>
      <c r="AN11" s="40">
        <f t="shared" si="21"/>
        <v>0</v>
      </c>
      <c r="AP11" s="22">
        <f t="shared" si="22"/>
        <v>0</v>
      </c>
      <c r="AQ11" s="64" t="str">
        <f t="shared" si="23"/>
        <v>No</v>
      </c>
      <c r="AR11" s="16">
        <f t="shared" si="24"/>
        <v>0</v>
      </c>
      <c r="AS11" s="16">
        <f t="shared" si="0"/>
        <v>0</v>
      </c>
      <c r="AT11" s="18">
        <f t="shared" si="25"/>
        <v>0</v>
      </c>
      <c r="AV11" s="111">
        <f t="shared" si="26"/>
        <v>0</v>
      </c>
      <c r="AW11" s="110">
        <f t="shared" si="27"/>
        <v>0</v>
      </c>
      <c r="AX11" s="112">
        <f t="shared" si="28"/>
        <v>0</v>
      </c>
    </row>
    <row r="12" spans="1:54" ht="27.2" customHeight="1" x14ac:dyDescent="0.2">
      <c r="A12" s="116"/>
      <c r="B12" s="117">
        <v>0</v>
      </c>
      <c r="C12" s="28"/>
      <c r="D12" s="28"/>
      <c r="E12" s="29"/>
      <c r="F12" s="29"/>
      <c r="G12" s="29"/>
      <c r="H12" s="29"/>
      <c r="I12" s="30"/>
      <c r="J12" s="30">
        <v>0</v>
      </c>
      <c r="K12" s="30">
        <v>0</v>
      </c>
      <c r="L12" s="30">
        <v>0</v>
      </c>
      <c r="M12" s="30">
        <v>0</v>
      </c>
      <c r="N12" s="30">
        <v>0</v>
      </c>
      <c r="O12" s="30">
        <v>0</v>
      </c>
      <c r="P12" s="38">
        <v>0</v>
      </c>
      <c r="Q12" s="34">
        <f t="shared" si="1"/>
        <v>0</v>
      </c>
      <c r="R12" s="14">
        <f t="shared" si="2"/>
        <v>0</v>
      </c>
      <c r="S12" s="14">
        <f t="shared" si="3"/>
        <v>0</v>
      </c>
      <c r="T12" s="13">
        <f t="shared" si="4"/>
        <v>0</v>
      </c>
      <c r="U12" s="15">
        <f t="shared" si="5"/>
        <v>4</v>
      </c>
      <c r="V12" s="12">
        <f t="shared" si="6"/>
        <v>0</v>
      </c>
      <c r="W12" s="60">
        <f t="shared" si="7"/>
        <v>0</v>
      </c>
      <c r="X12" s="12">
        <f>IF(C12="WaivedCoverage",0,IF(C12="",0,INDEX(Rates!$B$5:$G$10,MATCH(C12,Rates!$B$5:$B$10,),MATCH(W12,Rates!$B$5:$F$5,))))</f>
        <v>0</v>
      </c>
      <c r="Y12" s="12">
        <f>Rates!$F$2*B12</f>
        <v>0</v>
      </c>
      <c r="Z12" s="12">
        <f t="shared" si="8"/>
        <v>0</v>
      </c>
      <c r="AA12" s="12">
        <f t="shared" si="9"/>
        <v>0</v>
      </c>
      <c r="AB12" s="12">
        <f t="shared" si="10"/>
        <v>0</v>
      </c>
      <c r="AC12" s="12">
        <f t="shared" si="11"/>
        <v>0</v>
      </c>
      <c r="AD12" s="12">
        <f t="shared" si="12"/>
        <v>0</v>
      </c>
      <c r="AE12" s="12">
        <f t="shared" si="13"/>
        <v>0</v>
      </c>
      <c r="AF12" s="12">
        <f t="shared" si="14"/>
        <v>0</v>
      </c>
      <c r="AG12" s="12">
        <f t="shared" si="15"/>
        <v>0</v>
      </c>
      <c r="AH12" s="35">
        <f t="shared" si="16"/>
        <v>0</v>
      </c>
      <c r="AI12" s="128"/>
      <c r="AJ12" s="17">
        <f t="shared" si="17"/>
        <v>0</v>
      </c>
      <c r="AK12" s="16">
        <f t="shared" si="18"/>
        <v>0</v>
      </c>
      <c r="AL12" s="16">
        <f t="shared" si="19"/>
        <v>0</v>
      </c>
      <c r="AM12" s="45">
        <f t="shared" si="20"/>
        <v>0</v>
      </c>
      <c r="AN12" s="40">
        <f t="shared" si="21"/>
        <v>0</v>
      </c>
      <c r="AP12" s="22">
        <f t="shared" si="22"/>
        <v>0</v>
      </c>
      <c r="AQ12" s="64" t="str">
        <f t="shared" si="23"/>
        <v>No</v>
      </c>
      <c r="AR12" s="16">
        <f t="shared" si="24"/>
        <v>0</v>
      </c>
      <c r="AS12" s="16">
        <f t="shared" si="0"/>
        <v>0</v>
      </c>
      <c r="AT12" s="18">
        <f t="shared" si="25"/>
        <v>0</v>
      </c>
      <c r="AV12" s="111">
        <f t="shared" si="26"/>
        <v>0</v>
      </c>
      <c r="AW12" s="110">
        <f t="shared" si="27"/>
        <v>0</v>
      </c>
      <c r="AX12" s="112">
        <f t="shared" si="28"/>
        <v>0</v>
      </c>
    </row>
    <row r="13" spans="1:54" ht="27.2" customHeight="1" x14ac:dyDescent="0.2">
      <c r="A13" s="116"/>
      <c r="B13" s="117">
        <v>0</v>
      </c>
      <c r="C13" s="28"/>
      <c r="D13" s="28"/>
      <c r="E13" s="29"/>
      <c r="F13" s="29"/>
      <c r="G13" s="29"/>
      <c r="H13" s="29"/>
      <c r="I13" s="30"/>
      <c r="J13" s="30">
        <v>0</v>
      </c>
      <c r="K13" s="30">
        <v>0</v>
      </c>
      <c r="L13" s="30">
        <v>0</v>
      </c>
      <c r="M13" s="30">
        <v>0</v>
      </c>
      <c r="N13" s="30">
        <v>0</v>
      </c>
      <c r="O13" s="30">
        <v>0</v>
      </c>
      <c r="P13" s="38">
        <v>0</v>
      </c>
      <c r="Q13" s="34">
        <f t="shared" si="1"/>
        <v>0</v>
      </c>
      <c r="R13" s="14">
        <f t="shared" si="2"/>
        <v>0</v>
      </c>
      <c r="S13" s="14">
        <f t="shared" si="3"/>
        <v>0</v>
      </c>
      <c r="T13" s="13">
        <f t="shared" si="4"/>
        <v>0</v>
      </c>
      <c r="U13" s="15">
        <f t="shared" si="5"/>
        <v>4</v>
      </c>
      <c r="V13" s="12">
        <f t="shared" si="6"/>
        <v>0</v>
      </c>
      <c r="W13" s="60">
        <f t="shared" si="7"/>
        <v>0</v>
      </c>
      <c r="X13" s="12">
        <f>IF(C13="WaivedCoverage",0,IF(C13="",0,INDEX(Rates!$B$5:$G$10,MATCH(C13,Rates!$B$5:$B$10,),MATCH(W13,Rates!$B$5:$F$5,))))</f>
        <v>0</v>
      </c>
      <c r="Y13" s="12">
        <f>Rates!$F$2*B13</f>
        <v>0</v>
      </c>
      <c r="Z13" s="12">
        <f t="shared" si="8"/>
        <v>0</v>
      </c>
      <c r="AA13" s="12">
        <f t="shared" si="9"/>
        <v>0</v>
      </c>
      <c r="AB13" s="12">
        <f t="shared" si="10"/>
        <v>0</v>
      </c>
      <c r="AC13" s="12">
        <f t="shared" si="11"/>
        <v>0</v>
      </c>
      <c r="AD13" s="12">
        <f t="shared" si="12"/>
        <v>0</v>
      </c>
      <c r="AE13" s="12">
        <f t="shared" si="13"/>
        <v>0</v>
      </c>
      <c r="AF13" s="12">
        <f t="shared" si="14"/>
        <v>0</v>
      </c>
      <c r="AG13" s="12">
        <f t="shared" si="15"/>
        <v>0</v>
      </c>
      <c r="AH13" s="35">
        <f t="shared" si="16"/>
        <v>0</v>
      </c>
      <c r="AI13" s="128"/>
      <c r="AJ13" s="17">
        <f t="shared" si="17"/>
        <v>0</v>
      </c>
      <c r="AK13" s="16">
        <f t="shared" si="18"/>
        <v>0</v>
      </c>
      <c r="AL13" s="16">
        <f t="shared" si="19"/>
        <v>0</v>
      </c>
      <c r="AM13" s="45">
        <f t="shared" si="20"/>
        <v>0</v>
      </c>
      <c r="AN13" s="40">
        <f t="shared" si="21"/>
        <v>0</v>
      </c>
      <c r="AP13" s="22">
        <f t="shared" si="22"/>
        <v>0</v>
      </c>
      <c r="AQ13" s="64" t="str">
        <f t="shared" si="23"/>
        <v>No</v>
      </c>
      <c r="AR13" s="16">
        <f t="shared" si="24"/>
        <v>0</v>
      </c>
      <c r="AS13" s="16">
        <f t="shared" si="0"/>
        <v>0</v>
      </c>
      <c r="AT13" s="18">
        <f t="shared" si="25"/>
        <v>0</v>
      </c>
      <c r="AV13" s="111">
        <f t="shared" si="26"/>
        <v>0</v>
      </c>
      <c r="AW13" s="110">
        <f t="shared" si="27"/>
        <v>0</v>
      </c>
      <c r="AX13" s="112">
        <f t="shared" si="28"/>
        <v>0</v>
      </c>
    </row>
    <row r="14" spans="1:54" ht="27.2" customHeight="1" x14ac:dyDescent="0.2">
      <c r="A14" s="116"/>
      <c r="B14" s="117">
        <v>0</v>
      </c>
      <c r="C14" s="28"/>
      <c r="D14" s="28"/>
      <c r="E14" s="29"/>
      <c r="F14" s="29"/>
      <c r="G14" s="29"/>
      <c r="H14" s="29"/>
      <c r="I14" s="30"/>
      <c r="J14" s="30">
        <v>0</v>
      </c>
      <c r="K14" s="30">
        <v>0</v>
      </c>
      <c r="L14" s="30">
        <v>0</v>
      </c>
      <c r="M14" s="30">
        <v>0</v>
      </c>
      <c r="N14" s="30">
        <v>0</v>
      </c>
      <c r="O14" s="30">
        <v>0</v>
      </c>
      <c r="P14" s="38">
        <v>0</v>
      </c>
      <c r="Q14" s="34">
        <f t="shared" si="1"/>
        <v>0</v>
      </c>
      <c r="R14" s="14">
        <f t="shared" si="2"/>
        <v>0</v>
      </c>
      <c r="S14" s="14">
        <f t="shared" si="3"/>
        <v>0</v>
      </c>
      <c r="T14" s="13">
        <f t="shared" si="4"/>
        <v>0</v>
      </c>
      <c r="U14" s="15">
        <f t="shared" si="5"/>
        <v>4</v>
      </c>
      <c r="V14" s="12">
        <f t="shared" si="6"/>
        <v>0</v>
      </c>
      <c r="W14" s="60">
        <f t="shared" si="7"/>
        <v>0</v>
      </c>
      <c r="X14" s="12">
        <f>IF(C14="WaivedCoverage",0,IF(C14="",0,INDEX(Rates!$B$5:$G$10,MATCH(C14,Rates!$B$5:$B$10,),MATCH(W14,Rates!$B$5:$F$5,))))</f>
        <v>0</v>
      </c>
      <c r="Y14" s="12">
        <f>Rates!$F$2*B14</f>
        <v>0</v>
      </c>
      <c r="Z14" s="12">
        <f t="shared" si="8"/>
        <v>0</v>
      </c>
      <c r="AA14" s="12">
        <f t="shared" si="9"/>
        <v>0</v>
      </c>
      <c r="AB14" s="12">
        <f t="shared" si="10"/>
        <v>0</v>
      </c>
      <c r="AC14" s="12">
        <f t="shared" si="11"/>
        <v>0</v>
      </c>
      <c r="AD14" s="12">
        <f t="shared" si="12"/>
        <v>0</v>
      </c>
      <c r="AE14" s="12">
        <f t="shared" si="13"/>
        <v>0</v>
      </c>
      <c r="AF14" s="12">
        <f t="shared" si="14"/>
        <v>0</v>
      </c>
      <c r="AG14" s="12">
        <f t="shared" si="15"/>
        <v>0</v>
      </c>
      <c r="AH14" s="35">
        <f t="shared" si="16"/>
        <v>0</v>
      </c>
      <c r="AI14" s="128"/>
      <c r="AJ14" s="17">
        <f t="shared" si="17"/>
        <v>0</v>
      </c>
      <c r="AK14" s="16">
        <f t="shared" si="18"/>
        <v>0</v>
      </c>
      <c r="AL14" s="16">
        <f t="shared" si="19"/>
        <v>0</v>
      </c>
      <c r="AM14" s="45">
        <f t="shared" si="20"/>
        <v>0</v>
      </c>
      <c r="AN14" s="40">
        <f t="shared" si="21"/>
        <v>0</v>
      </c>
      <c r="AP14" s="22">
        <f t="shared" si="22"/>
        <v>0</v>
      </c>
      <c r="AQ14" s="64" t="str">
        <f t="shared" si="23"/>
        <v>No</v>
      </c>
      <c r="AR14" s="16">
        <f t="shared" si="24"/>
        <v>0</v>
      </c>
      <c r="AS14" s="16">
        <f t="shared" si="0"/>
        <v>0</v>
      </c>
      <c r="AT14" s="18">
        <f t="shared" si="25"/>
        <v>0</v>
      </c>
      <c r="AV14" s="111">
        <f t="shared" si="26"/>
        <v>0</v>
      </c>
      <c r="AW14" s="110">
        <f t="shared" si="27"/>
        <v>0</v>
      </c>
      <c r="AX14" s="112">
        <f t="shared" si="28"/>
        <v>0</v>
      </c>
    </row>
    <row r="15" spans="1:54" ht="27.2" customHeight="1" x14ac:dyDescent="0.2">
      <c r="A15" s="116"/>
      <c r="B15" s="117">
        <v>0</v>
      </c>
      <c r="C15" s="28"/>
      <c r="D15" s="28"/>
      <c r="E15" s="29"/>
      <c r="F15" s="29"/>
      <c r="G15" s="29"/>
      <c r="H15" s="29"/>
      <c r="I15" s="30"/>
      <c r="J15" s="30">
        <v>0</v>
      </c>
      <c r="K15" s="30">
        <v>0</v>
      </c>
      <c r="L15" s="30">
        <v>0</v>
      </c>
      <c r="M15" s="30">
        <v>0</v>
      </c>
      <c r="N15" s="30">
        <v>0</v>
      </c>
      <c r="O15" s="30">
        <v>0</v>
      </c>
      <c r="P15" s="38">
        <v>0</v>
      </c>
      <c r="Q15" s="34">
        <f t="shared" si="1"/>
        <v>0</v>
      </c>
      <c r="R15" s="14">
        <f t="shared" si="2"/>
        <v>0</v>
      </c>
      <c r="S15" s="14">
        <f t="shared" si="3"/>
        <v>0</v>
      </c>
      <c r="T15" s="13">
        <f t="shared" si="4"/>
        <v>0</v>
      </c>
      <c r="U15" s="15">
        <f t="shared" si="5"/>
        <v>4</v>
      </c>
      <c r="V15" s="12">
        <f t="shared" si="6"/>
        <v>0</v>
      </c>
      <c r="W15" s="60">
        <f t="shared" si="7"/>
        <v>0</v>
      </c>
      <c r="X15" s="12">
        <f>IF(C15="WaivedCoverage",0,IF(C15="",0,INDEX(Rates!$B$5:$G$10,MATCH(C15,Rates!$B$5:$B$10,),MATCH(W15,Rates!$B$5:$F$5,))))</f>
        <v>0</v>
      </c>
      <c r="Y15" s="12">
        <f>Rates!$F$2*B15</f>
        <v>0</v>
      </c>
      <c r="Z15" s="12">
        <f t="shared" si="8"/>
        <v>0</v>
      </c>
      <c r="AA15" s="12">
        <f t="shared" si="9"/>
        <v>0</v>
      </c>
      <c r="AB15" s="12">
        <f t="shared" si="10"/>
        <v>0</v>
      </c>
      <c r="AC15" s="12">
        <f t="shared" si="11"/>
        <v>0</v>
      </c>
      <c r="AD15" s="12">
        <f t="shared" si="12"/>
        <v>0</v>
      </c>
      <c r="AE15" s="12">
        <f t="shared" si="13"/>
        <v>0</v>
      </c>
      <c r="AF15" s="12">
        <f t="shared" si="14"/>
        <v>0</v>
      </c>
      <c r="AG15" s="12">
        <f t="shared" si="15"/>
        <v>0</v>
      </c>
      <c r="AH15" s="35">
        <f t="shared" si="16"/>
        <v>0</v>
      </c>
      <c r="AI15" s="128"/>
      <c r="AJ15" s="17">
        <f t="shared" si="17"/>
        <v>0</v>
      </c>
      <c r="AK15" s="16">
        <f t="shared" si="18"/>
        <v>0</v>
      </c>
      <c r="AL15" s="16">
        <f t="shared" si="19"/>
        <v>0</v>
      </c>
      <c r="AM15" s="45">
        <f t="shared" si="20"/>
        <v>0</v>
      </c>
      <c r="AN15" s="40">
        <f t="shared" si="21"/>
        <v>0</v>
      </c>
      <c r="AP15" s="22">
        <f t="shared" si="22"/>
        <v>0</v>
      </c>
      <c r="AQ15" s="64" t="str">
        <f t="shared" si="23"/>
        <v>No</v>
      </c>
      <c r="AR15" s="16">
        <f t="shared" si="24"/>
        <v>0</v>
      </c>
      <c r="AS15" s="16">
        <f t="shared" si="0"/>
        <v>0</v>
      </c>
      <c r="AT15" s="18">
        <f t="shared" si="25"/>
        <v>0</v>
      </c>
      <c r="AV15" s="111">
        <f t="shared" si="26"/>
        <v>0</v>
      </c>
      <c r="AW15" s="110">
        <f t="shared" si="27"/>
        <v>0</v>
      </c>
      <c r="AX15" s="112">
        <f t="shared" si="28"/>
        <v>0</v>
      </c>
    </row>
    <row r="16" spans="1:54" ht="27.2" customHeight="1" x14ac:dyDescent="0.2">
      <c r="A16" s="116"/>
      <c r="B16" s="117">
        <v>0</v>
      </c>
      <c r="C16" s="28"/>
      <c r="D16" s="28"/>
      <c r="E16" s="29"/>
      <c r="F16" s="29"/>
      <c r="G16" s="29"/>
      <c r="H16" s="29"/>
      <c r="I16" s="30"/>
      <c r="J16" s="30">
        <v>0</v>
      </c>
      <c r="K16" s="30">
        <v>0</v>
      </c>
      <c r="L16" s="30">
        <v>0</v>
      </c>
      <c r="M16" s="30">
        <v>0</v>
      </c>
      <c r="N16" s="30">
        <v>0</v>
      </c>
      <c r="O16" s="30">
        <v>0</v>
      </c>
      <c r="P16" s="38">
        <v>0</v>
      </c>
      <c r="Q16" s="34">
        <f t="shared" si="1"/>
        <v>0</v>
      </c>
      <c r="R16" s="14">
        <f t="shared" si="2"/>
        <v>0</v>
      </c>
      <c r="S16" s="14">
        <f t="shared" si="3"/>
        <v>0</v>
      </c>
      <c r="T16" s="13">
        <f t="shared" si="4"/>
        <v>0</v>
      </c>
      <c r="U16" s="15">
        <f t="shared" si="5"/>
        <v>4</v>
      </c>
      <c r="V16" s="12">
        <f t="shared" si="6"/>
        <v>0</v>
      </c>
      <c r="W16" s="60">
        <f t="shared" si="7"/>
        <v>0</v>
      </c>
      <c r="X16" s="12">
        <f>IF(C16="WaivedCoverage",0,IF(C16="",0,INDEX(Rates!$B$5:$G$10,MATCH(C16,Rates!$B$5:$B$10,),MATCH(W16,Rates!$B$5:$F$5,))))</f>
        <v>0</v>
      </c>
      <c r="Y16" s="12">
        <f>Rates!$F$2*B16</f>
        <v>0</v>
      </c>
      <c r="Z16" s="12">
        <f t="shared" si="8"/>
        <v>0</v>
      </c>
      <c r="AA16" s="12">
        <f t="shared" si="9"/>
        <v>0</v>
      </c>
      <c r="AB16" s="12">
        <f t="shared" si="10"/>
        <v>0</v>
      </c>
      <c r="AC16" s="12">
        <f t="shared" si="11"/>
        <v>0</v>
      </c>
      <c r="AD16" s="12">
        <f t="shared" si="12"/>
        <v>0</v>
      </c>
      <c r="AE16" s="12">
        <f t="shared" si="13"/>
        <v>0</v>
      </c>
      <c r="AF16" s="12">
        <f t="shared" si="14"/>
        <v>0</v>
      </c>
      <c r="AG16" s="12">
        <f t="shared" si="15"/>
        <v>0</v>
      </c>
      <c r="AH16" s="35">
        <f t="shared" si="16"/>
        <v>0</v>
      </c>
      <c r="AI16" s="128"/>
      <c r="AJ16" s="17">
        <f t="shared" si="17"/>
        <v>0</v>
      </c>
      <c r="AK16" s="16">
        <f t="shared" si="18"/>
        <v>0</v>
      </c>
      <c r="AL16" s="16">
        <f t="shared" si="19"/>
        <v>0</v>
      </c>
      <c r="AM16" s="45">
        <f t="shared" si="20"/>
        <v>0</v>
      </c>
      <c r="AN16" s="40">
        <f t="shared" si="21"/>
        <v>0</v>
      </c>
      <c r="AP16" s="22">
        <f t="shared" si="22"/>
        <v>0</v>
      </c>
      <c r="AQ16" s="64" t="str">
        <f t="shared" si="23"/>
        <v>No</v>
      </c>
      <c r="AR16" s="16">
        <f t="shared" si="24"/>
        <v>0</v>
      </c>
      <c r="AS16" s="16">
        <f t="shared" si="0"/>
        <v>0</v>
      </c>
      <c r="AT16" s="18">
        <f t="shared" si="25"/>
        <v>0</v>
      </c>
      <c r="AV16" s="111">
        <f t="shared" si="26"/>
        <v>0</v>
      </c>
      <c r="AW16" s="110">
        <f t="shared" si="27"/>
        <v>0</v>
      </c>
      <c r="AX16" s="112">
        <f t="shared" si="28"/>
        <v>0</v>
      </c>
    </row>
    <row r="17" spans="1:50" ht="27.2" customHeight="1" x14ac:dyDescent="0.2">
      <c r="A17" s="116"/>
      <c r="B17" s="117">
        <v>0</v>
      </c>
      <c r="C17" s="28"/>
      <c r="D17" s="28"/>
      <c r="E17" s="29"/>
      <c r="F17" s="29"/>
      <c r="G17" s="29"/>
      <c r="H17" s="29"/>
      <c r="I17" s="30"/>
      <c r="J17" s="30">
        <v>0</v>
      </c>
      <c r="K17" s="30">
        <v>0</v>
      </c>
      <c r="L17" s="30">
        <v>0</v>
      </c>
      <c r="M17" s="30">
        <v>0</v>
      </c>
      <c r="N17" s="30">
        <v>0</v>
      </c>
      <c r="O17" s="30">
        <v>0</v>
      </c>
      <c r="P17" s="38">
        <v>0</v>
      </c>
      <c r="Q17" s="34">
        <f t="shared" si="1"/>
        <v>0</v>
      </c>
      <c r="R17" s="14">
        <f t="shared" si="2"/>
        <v>0</v>
      </c>
      <c r="S17" s="14">
        <f t="shared" si="3"/>
        <v>0</v>
      </c>
      <c r="T17" s="13">
        <f t="shared" si="4"/>
        <v>0</v>
      </c>
      <c r="U17" s="15">
        <f t="shared" si="5"/>
        <v>4</v>
      </c>
      <c r="V17" s="12">
        <f t="shared" si="6"/>
        <v>0</v>
      </c>
      <c r="W17" s="60">
        <f t="shared" si="7"/>
        <v>0</v>
      </c>
      <c r="X17" s="12">
        <f>IF(C17="WaivedCoverage",0,IF(C17="",0,INDEX(Rates!$B$5:$G$10,MATCH(C17,Rates!$B$5:$B$10,),MATCH(W17,Rates!$B$5:$F$5,))))</f>
        <v>0</v>
      </c>
      <c r="Y17" s="12">
        <f>Rates!$F$2*B17</f>
        <v>0</v>
      </c>
      <c r="Z17" s="12">
        <f t="shared" si="8"/>
        <v>0</v>
      </c>
      <c r="AA17" s="12">
        <f t="shared" si="9"/>
        <v>0</v>
      </c>
      <c r="AB17" s="12">
        <f t="shared" si="10"/>
        <v>0</v>
      </c>
      <c r="AC17" s="12">
        <f t="shared" si="11"/>
        <v>0</v>
      </c>
      <c r="AD17" s="12">
        <f t="shared" si="12"/>
        <v>0</v>
      </c>
      <c r="AE17" s="12">
        <f t="shared" si="13"/>
        <v>0</v>
      </c>
      <c r="AF17" s="12">
        <f t="shared" si="14"/>
        <v>0</v>
      </c>
      <c r="AG17" s="12">
        <f t="shared" si="15"/>
        <v>0</v>
      </c>
      <c r="AH17" s="35">
        <f t="shared" si="16"/>
        <v>0</v>
      </c>
      <c r="AI17" s="128"/>
      <c r="AJ17" s="17">
        <f t="shared" si="17"/>
        <v>0</v>
      </c>
      <c r="AK17" s="16">
        <f t="shared" si="18"/>
        <v>0</v>
      </c>
      <c r="AL17" s="16">
        <f t="shared" si="19"/>
        <v>0</v>
      </c>
      <c r="AM17" s="45">
        <f t="shared" si="20"/>
        <v>0</v>
      </c>
      <c r="AN17" s="40">
        <f t="shared" si="21"/>
        <v>0</v>
      </c>
      <c r="AP17" s="22">
        <f t="shared" si="22"/>
        <v>0</v>
      </c>
      <c r="AQ17" s="64" t="str">
        <f t="shared" si="23"/>
        <v>No</v>
      </c>
      <c r="AR17" s="16">
        <f t="shared" si="24"/>
        <v>0</v>
      </c>
      <c r="AS17" s="16">
        <f t="shared" si="0"/>
        <v>0</v>
      </c>
      <c r="AT17" s="18">
        <f t="shared" si="25"/>
        <v>0</v>
      </c>
      <c r="AV17" s="111">
        <f t="shared" si="26"/>
        <v>0</v>
      </c>
      <c r="AW17" s="110">
        <f t="shared" si="27"/>
        <v>0</v>
      </c>
      <c r="AX17" s="112">
        <f t="shared" si="28"/>
        <v>0</v>
      </c>
    </row>
    <row r="18" spans="1:50" ht="27.2" customHeight="1" x14ac:dyDescent="0.2">
      <c r="A18" s="116"/>
      <c r="B18" s="117">
        <v>0</v>
      </c>
      <c r="C18" s="28"/>
      <c r="D18" s="28"/>
      <c r="E18" s="29"/>
      <c r="F18" s="29"/>
      <c r="G18" s="29"/>
      <c r="H18" s="29"/>
      <c r="I18" s="30"/>
      <c r="J18" s="30">
        <v>0</v>
      </c>
      <c r="K18" s="30">
        <v>0</v>
      </c>
      <c r="L18" s="30">
        <v>0</v>
      </c>
      <c r="M18" s="30">
        <v>0</v>
      </c>
      <c r="N18" s="30">
        <v>0</v>
      </c>
      <c r="O18" s="30">
        <v>0</v>
      </c>
      <c r="P18" s="38">
        <v>0</v>
      </c>
      <c r="Q18" s="34">
        <f t="shared" si="1"/>
        <v>0</v>
      </c>
      <c r="R18" s="14">
        <f t="shared" si="2"/>
        <v>0</v>
      </c>
      <c r="S18" s="14">
        <f t="shared" si="3"/>
        <v>0</v>
      </c>
      <c r="T18" s="13">
        <f t="shared" si="4"/>
        <v>0</v>
      </c>
      <c r="U18" s="15">
        <f t="shared" si="5"/>
        <v>4</v>
      </c>
      <c r="V18" s="12">
        <f t="shared" si="6"/>
        <v>0</v>
      </c>
      <c r="W18" s="60">
        <f t="shared" si="7"/>
        <v>0</v>
      </c>
      <c r="X18" s="12">
        <f>IF(C18="WaivedCoverage",0,IF(C18="",0,INDEX(Rates!$B$5:$G$10,MATCH(C18,Rates!$B$5:$B$10,),MATCH(W18,Rates!$B$5:$F$5,))))</f>
        <v>0</v>
      </c>
      <c r="Y18" s="12">
        <f>Rates!$F$2*B18</f>
        <v>0</v>
      </c>
      <c r="Z18" s="12">
        <f t="shared" si="8"/>
        <v>0</v>
      </c>
      <c r="AA18" s="12">
        <f t="shared" si="9"/>
        <v>0</v>
      </c>
      <c r="AB18" s="12">
        <f t="shared" si="10"/>
        <v>0</v>
      </c>
      <c r="AC18" s="12">
        <f t="shared" si="11"/>
        <v>0</v>
      </c>
      <c r="AD18" s="12">
        <f t="shared" si="12"/>
        <v>0</v>
      </c>
      <c r="AE18" s="12">
        <f t="shared" si="13"/>
        <v>0</v>
      </c>
      <c r="AF18" s="12">
        <f t="shared" si="14"/>
        <v>0</v>
      </c>
      <c r="AG18" s="12">
        <f t="shared" si="15"/>
        <v>0</v>
      </c>
      <c r="AH18" s="35">
        <f t="shared" si="16"/>
        <v>0</v>
      </c>
      <c r="AI18" s="128"/>
      <c r="AJ18" s="17">
        <f t="shared" si="17"/>
        <v>0</v>
      </c>
      <c r="AK18" s="16">
        <f t="shared" si="18"/>
        <v>0</v>
      </c>
      <c r="AL18" s="16">
        <f t="shared" si="19"/>
        <v>0</v>
      </c>
      <c r="AM18" s="45">
        <f t="shared" si="20"/>
        <v>0</v>
      </c>
      <c r="AN18" s="40">
        <f t="shared" si="21"/>
        <v>0</v>
      </c>
      <c r="AP18" s="22">
        <f t="shared" si="22"/>
        <v>0</v>
      </c>
      <c r="AQ18" s="64" t="str">
        <f t="shared" si="23"/>
        <v>No</v>
      </c>
      <c r="AR18" s="16">
        <f t="shared" si="24"/>
        <v>0</v>
      </c>
      <c r="AS18" s="16">
        <f t="shared" si="0"/>
        <v>0</v>
      </c>
      <c r="AT18" s="18">
        <f t="shared" si="25"/>
        <v>0</v>
      </c>
      <c r="AV18" s="111">
        <f t="shared" si="26"/>
        <v>0</v>
      </c>
      <c r="AW18" s="110">
        <f t="shared" si="27"/>
        <v>0</v>
      </c>
      <c r="AX18" s="112">
        <f t="shared" si="28"/>
        <v>0</v>
      </c>
    </row>
    <row r="19" spans="1:50" ht="27.2" customHeight="1" x14ac:dyDescent="0.2">
      <c r="A19" s="116"/>
      <c r="B19" s="117">
        <v>0</v>
      </c>
      <c r="C19" s="28"/>
      <c r="D19" s="28"/>
      <c r="E19" s="29"/>
      <c r="F19" s="29"/>
      <c r="G19" s="29"/>
      <c r="H19" s="29"/>
      <c r="I19" s="30"/>
      <c r="J19" s="30">
        <v>0</v>
      </c>
      <c r="K19" s="30">
        <v>0</v>
      </c>
      <c r="L19" s="30">
        <v>0</v>
      </c>
      <c r="M19" s="30">
        <v>0</v>
      </c>
      <c r="N19" s="30">
        <v>0</v>
      </c>
      <c r="O19" s="30">
        <v>0</v>
      </c>
      <c r="P19" s="38">
        <v>0</v>
      </c>
      <c r="Q19" s="34">
        <f t="shared" si="1"/>
        <v>0</v>
      </c>
      <c r="R19" s="14">
        <f t="shared" si="2"/>
        <v>0</v>
      </c>
      <c r="S19" s="14">
        <f t="shared" si="3"/>
        <v>0</v>
      </c>
      <c r="T19" s="13">
        <f t="shared" si="4"/>
        <v>0</v>
      </c>
      <c r="U19" s="15">
        <f t="shared" si="5"/>
        <v>4</v>
      </c>
      <c r="V19" s="12">
        <f t="shared" si="6"/>
        <v>0</v>
      </c>
      <c r="W19" s="60">
        <f t="shared" si="7"/>
        <v>0</v>
      </c>
      <c r="X19" s="12">
        <f>IF(C19="WaivedCoverage",0,IF(C19="",0,INDEX(Rates!$B$5:$G$10,MATCH(C19,Rates!$B$5:$B$10,),MATCH(W19,Rates!$B$5:$F$5,))))</f>
        <v>0</v>
      </c>
      <c r="Y19" s="12">
        <f>Rates!$F$2*B19</f>
        <v>0</v>
      </c>
      <c r="Z19" s="12">
        <f t="shared" si="8"/>
        <v>0</v>
      </c>
      <c r="AA19" s="12">
        <f t="shared" si="9"/>
        <v>0</v>
      </c>
      <c r="AB19" s="12">
        <f t="shared" si="10"/>
        <v>0</v>
      </c>
      <c r="AC19" s="12">
        <f t="shared" si="11"/>
        <v>0</v>
      </c>
      <c r="AD19" s="12">
        <f t="shared" si="12"/>
        <v>0</v>
      </c>
      <c r="AE19" s="12">
        <f t="shared" si="13"/>
        <v>0</v>
      </c>
      <c r="AF19" s="12">
        <f t="shared" si="14"/>
        <v>0</v>
      </c>
      <c r="AG19" s="12">
        <f t="shared" si="15"/>
        <v>0</v>
      </c>
      <c r="AH19" s="35">
        <f t="shared" si="16"/>
        <v>0</v>
      </c>
      <c r="AI19" s="128"/>
      <c r="AJ19" s="17">
        <f t="shared" si="17"/>
        <v>0</v>
      </c>
      <c r="AK19" s="16">
        <f t="shared" si="18"/>
        <v>0</v>
      </c>
      <c r="AL19" s="16">
        <f t="shared" si="19"/>
        <v>0</v>
      </c>
      <c r="AM19" s="45">
        <f t="shared" si="20"/>
        <v>0</v>
      </c>
      <c r="AN19" s="40">
        <f t="shared" si="21"/>
        <v>0</v>
      </c>
      <c r="AP19" s="22">
        <f t="shared" si="22"/>
        <v>0</v>
      </c>
      <c r="AQ19" s="64" t="str">
        <f t="shared" si="23"/>
        <v>No</v>
      </c>
      <c r="AR19" s="16">
        <f t="shared" si="24"/>
        <v>0</v>
      </c>
      <c r="AS19" s="16">
        <f t="shared" si="0"/>
        <v>0</v>
      </c>
      <c r="AT19" s="18">
        <f t="shared" si="25"/>
        <v>0</v>
      </c>
      <c r="AV19" s="111">
        <f t="shared" si="26"/>
        <v>0</v>
      </c>
      <c r="AW19" s="110">
        <f t="shared" si="27"/>
        <v>0</v>
      </c>
      <c r="AX19" s="112">
        <f t="shared" si="28"/>
        <v>0</v>
      </c>
    </row>
    <row r="20" spans="1:50" ht="27.2" customHeight="1" x14ac:dyDescent="0.2">
      <c r="A20" s="116"/>
      <c r="B20" s="117">
        <v>0</v>
      </c>
      <c r="C20" s="28"/>
      <c r="D20" s="28"/>
      <c r="E20" s="29"/>
      <c r="F20" s="29"/>
      <c r="G20" s="29"/>
      <c r="H20" s="29"/>
      <c r="I20" s="30"/>
      <c r="J20" s="30">
        <v>0</v>
      </c>
      <c r="K20" s="30">
        <v>0</v>
      </c>
      <c r="L20" s="30">
        <v>0</v>
      </c>
      <c r="M20" s="30">
        <v>0</v>
      </c>
      <c r="N20" s="30">
        <v>0</v>
      </c>
      <c r="O20" s="30">
        <v>0</v>
      </c>
      <c r="P20" s="38">
        <v>0</v>
      </c>
      <c r="Q20" s="34">
        <f t="shared" si="1"/>
        <v>0</v>
      </c>
      <c r="R20" s="14">
        <f t="shared" si="2"/>
        <v>0</v>
      </c>
      <c r="S20" s="14">
        <f t="shared" si="3"/>
        <v>0</v>
      </c>
      <c r="T20" s="13">
        <f t="shared" si="4"/>
        <v>0</v>
      </c>
      <c r="U20" s="15">
        <f t="shared" si="5"/>
        <v>4</v>
      </c>
      <c r="V20" s="12">
        <f t="shared" si="6"/>
        <v>0</v>
      </c>
      <c r="W20" s="60">
        <f t="shared" si="7"/>
        <v>0</v>
      </c>
      <c r="X20" s="12">
        <f>IF(C20="WaivedCoverage",0,IF(C20="",0,INDEX(Rates!$B$5:$G$10,MATCH(C20,Rates!$B$5:$B$10,),MATCH(W20,Rates!$B$5:$F$5,))))</f>
        <v>0</v>
      </c>
      <c r="Y20" s="12">
        <f>Rates!$F$2*B20</f>
        <v>0</v>
      </c>
      <c r="Z20" s="12">
        <f t="shared" si="8"/>
        <v>0</v>
      </c>
      <c r="AA20" s="12">
        <f t="shared" si="9"/>
        <v>0</v>
      </c>
      <c r="AB20" s="12">
        <f t="shared" si="10"/>
        <v>0</v>
      </c>
      <c r="AC20" s="12">
        <f t="shared" si="11"/>
        <v>0</v>
      </c>
      <c r="AD20" s="12">
        <f t="shared" si="12"/>
        <v>0</v>
      </c>
      <c r="AE20" s="12">
        <f t="shared" si="13"/>
        <v>0</v>
      </c>
      <c r="AF20" s="12">
        <f t="shared" si="14"/>
        <v>0</v>
      </c>
      <c r="AG20" s="12">
        <f t="shared" si="15"/>
        <v>0</v>
      </c>
      <c r="AH20" s="35">
        <f t="shared" si="16"/>
        <v>0</v>
      </c>
      <c r="AI20" s="128"/>
      <c r="AJ20" s="17">
        <f t="shared" si="17"/>
        <v>0</v>
      </c>
      <c r="AK20" s="16">
        <f t="shared" si="18"/>
        <v>0</v>
      </c>
      <c r="AL20" s="16">
        <f t="shared" si="19"/>
        <v>0</v>
      </c>
      <c r="AM20" s="45">
        <f t="shared" si="20"/>
        <v>0</v>
      </c>
      <c r="AN20" s="40">
        <f t="shared" si="21"/>
        <v>0</v>
      </c>
      <c r="AP20" s="22">
        <f t="shared" si="22"/>
        <v>0</v>
      </c>
      <c r="AQ20" s="64" t="str">
        <f t="shared" si="23"/>
        <v>No</v>
      </c>
      <c r="AR20" s="16">
        <f t="shared" si="24"/>
        <v>0</v>
      </c>
      <c r="AS20" s="16">
        <f t="shared" si="0"/>
        <v>0</v>
      </c>
      <c r="AT20" s="18">
        <f t="shared" si="25"/>
        <v>0</v>
      </c>
      <c r="AV20" s="111">
        <f t="shared" si="26"/>
        <v>0</v>
      </c>
      <c r="AW20" s="110">
        <f t="shared" si="27"/>
        <v>0</v>
      </c>
      <c r="AX20" s="112">
        <f t="shared" si="28"/>
        <v>0</v>
      </c>
    </row>
    <row r="21" spans="1:50" ht="27.2" customHeight="1" x14ac:dyDescent="0.2">
      <c r="A21" s="116"/>
      <c r="B21" s="117">
        <v>0</v>
      </c>
      <c r="C21" s="28"/>
      <c r="D21" s="28"/>
      <c r="E21" s="29"/>
      <c r="F21" s="29"/>
      <c r="G21" s="29"/>
      <c r="H21" s="29"/>
      <c r="I21" s="30"/>
      <c r="J21" s="30">
        <v>0</v>
      </c>
      <c r="K21" s="30">
        <v>0</v>
      </c>
      <c r="L21" s="30">
        <v>0</v>
      </c>
      <c r="M21" s="30">
        <v>0</v>
      </c>
      <c r="N21" s="30">
        <v>0</v>
      </c>
      <c r="O21" s="30">
        <v>0</v>
      </c>
      <c r="P21" s="38">
        <v>0</v>
      </c>
      <c r="Q21" s="34">
        <f t="shared" si="1"/>
        <v>0</v>
      </c>
      <c r="R21" s="14">
        <f t="shared" si="2"/>
        <v>0</v>
      </c>
      <c r="S21" s="14">
        <f t="shared" si="3"/>
        <v>0</v>
      </c>
      <c r="T21" s="13">
        <f t="shared" si="4"/>
        <v>0</v>
      </c>
      <c r="U21" s="15">
        <f t="shared" si="5"/>
        <v>4</v>
      </c>
      <c r="V21" s="12">
        <f t="shared" si="6"/>
        <v>0</v>
      </c>
      <c r="W21" s="60">
        <f t="shared" si="7"/>
        <v>0</v>
      </c>
      <c r="X21" s="12">
        <f>IF(C21="WaivedCoverage",0,IF(C21="",0,INDEX(Rates!$B$5:$G$10,MATCH(C21,Rates!$B$5:$B$10,),MATCH(W21,Rates!$B$5:$F$5,))))</f>
        <v>0</v>
      </c>
      <c r="Y21" s="12">
        <f>Rates!$F$2*B21</f>
        <v>0</v>
      </c>
      <c r="Z21" s="12">
        <f t="shared" si="8"/>
        <v>0</v>
      </c>
      <c r="AA21" s="12">
        <f t="shared" si="9"/>
        <v>0</v>
      </c>
      <c r="AB21" s="12">
        <f t="shared" si="10"/>
        <v>0</v>
      </c>
      <c r="AC21" s="12">
        <f t="shared" si="11"/>
        <v>0</v>
      </c>
      <c r="AD21" s="12">
        <f t="shared" si="12"/>
        <v>0</v>
      </c>
      <c r="AE21" s="12">
        <f t="shared" si="13"/>
        <v>0</v>
      </c>
      <c r="AF21" s="12">
        <f t="shared" si="14"/>
        <v>0</v>
      </c>
      <c r="AG21" s="12">
        <f t="shared" si="15"/>
        <v>0</v>
      </c>
      <c r="AH21" s="35">
        <f t="shared" si="16"/>
        <v>0</v>
      </c>
      <c r="AI21" s="128"/>
      <c r="AJ21" s="17">
        <f t="shared" si="17"/>
        <v>0</v>
      </c>
      <c r="AK21" s="16">
        <f t="shared" si="18"/>
        <v>0</v>
      </c>
      <c r="AL21" s="16">
        <f t="shared" si="19"/>
        <v>0</v>
      </c>
      <c r="AM21" s="45">
        <f t="shared" si="20"/>
        <v>0</v>
      </c>
      <c r="AN21" s="40">
        <f t="shared" si="21"/>
        <v>0</v>
      </c>
      <c r="AP21" s="22">
        <f t="shared" si="22"/>
        <v>0</v>
      </c>
      <c r="AQ21" s="64" t="str">
        <f t="shared" si="23"/>
        <v>No</v>
      </c>
      <c r="AR21" s="16">
        <f t="shared" si="24"/>
        <v>0</v>
      </c>
      <c r="AS21" s="16">
        <f t="shared" si="0"/>
        <v>0</v>
      </c>
      <c r="AT21" s="18">
        <f t="shared" si="25"/>
        <v>0</v>
      </c>
      <c r="AV21" s="111">
        <f t="shared" si="26"/>
        <v>0</v>
      </c>
      <c r="AW21" s="110">
        <f t="shared" si="27"/>
        <v>0</v>
      </c>
      <c r="AX21" s="112">
        <f t="shared" si="28"/>
        <v>0</v>
      </c>
    </row>
    <row r="22" spans="1:50" ht="27.2" customHeight="1" thickBot="1" x14ac:dyDescent="0.25">
      <c r="A22" s="116"/>
      <c r="B22" s="117">
        <v>0</v>
      </c>
      <c r="C22" s="31"/>
      <c r="D22" s="31"/>
      <c r="E22" s="32"/>
      <c r="F22" s="32"/>
      <c r="G22" s="32"/>
      <c r="H22" s="32"/>
      <c r="I22" s="33"/>
      <c r="J22" s="33">
        <v>0</v>
      </c>
      <c r="K22" s="33">
        <v>0</v>
      </c>
      <c r="L22" s="33">
        <v>0</v>
      </c>
      <c r="M22" s="33">
        <v>0</v>
      </c>
      <c r="N22" s="33">
        <v>0</v>
      </c>
      <c r="O22" s="33">
        <v>0</v>
      </c>
      <c r="P22" s="39">
        <v>0</v>
      </c>
      <c r="Q22" s="36">
        <f t="shared" si="1"/>
        <v>0</v>
      </c>
      <c r="R22" s="26">
        <f t="shared" si="2"/>
        <v>0</v>
      </c>
      <c r="S22" s="26">
        <f t="shared" si="3"/>
        <v>0</v>
      </c>
      <c r="T22" s="25">
        <f t="shared" si="4"/>
        <v>0</v>
      </c>
      <c r="U22" s="27">
        <f t="shared" si="5"/>
        <v>4</v>
      </c>
      <c r="V22" s="24">
        <f t="shared" si="6"/>
        <v>0</v>
      </c>
      <c r="W22" s="61">
        <f t="shared" si="7"/>
        <v>0</v>
      </c>
      <c r="X22" s="24">
        <f>IF(C22="WaivedCoverage",0,IF(C22="",0,INDEX(Rates!$B$5:$G$10,MATCH(C22,Rates!$B$5:$B$10,),MATCH(W22,Rates!$B$5:$F$5,))))</f>
        <v>0</v>
      </c>
      <c r="Y22" s="24">
        <f>Rates!$F$2*B22</f>
        <v>0</v>
      </c>
      <c r="Z22" s="24">
        <f t="shared" si="8"/>
        <v>0</v>
      </c>
      <c r="AA22" s="24">
        <f t="shared" si="9"/>
        <v>0</v>
      </c>
      <c r="AB22" s="24">
        <f t="shared" si="10"/>
        <v>0</v>
      </c>
      <c r="AC22" s="24">
        <f t="shared" si="11"/>
        <v>0</v>
      </c>
      <c r="AD22" s="24">
        <f t="shared" si="12"/>
        <v>0</v>
      </c>
      <c r="AE22" s="24">
        <f t="shared" si="13"/>
        <v>0</v>
      </c>
      <c r="AF22" s="24">
        <f t="shared" si="14"/>
        <v>0</v>
      </c>
      <c r="AG22" s="24">
        <f t="shared" si="15"/>
        <v>0</v>
      </c>
      <c r="AH22" s="37">
        <f t="shared" si="16"/>
        <v>0</v>
      </c>
      <c r="AI22" s="128"/>
      <c r="AJ22" s="19">
        <f t="shared" si="17"/>
        <v>0</v>
      </c>
      <c r="AK22" s="20">
        <f t="shared" si="18"/>
        <v>0</v>
      </c>
      <c r="AL22" s="20">
        <f t="shared" si="19"/>
        <v>0</v>
      </c>
      <c r="AM22" s="46">
        <f t="shared" si="20"/>
        <v>0</v>
      </c>
      <c r="AN22" s="41">
        <f t="shared" si="21"/>
        <v>0</v>
      </c>
      <c r="AP22" s="23">
        <f t="shared" si="22"/>
        <v>0</v>
      </c>
      <c r="AQ22" s="65" t="str">
        <f t="shared" si="23"/>
        <v>No</v>
      </c>
      <c r="AR22" s="20">
        <f t="shared" si="24"/>
        <v>0</v>
      </c>
      <c r="AS22" s="20">
        <f t="shared" si="0"/>
        <v>0</v>
      </c>
      <c r="AT22" s="21">
        <f t="shared" si="25"/>
        <v>0</v>
      </c>
      <c r="AV22" s="113">
        <f t="shared" si="26"/>
        <v>0</v>
      </c>
      <c r="AW22" s="114">
        <f t="shared" si="27"/>
        <v>0</v>
      </c>
      <c r="AX22" s="115">
        <f t="shared" si="28"/>
        <v>0</v>
      </c>
    </row>
    <row r="23" spans="1:50" x14ac:dyDescent="0.2">
      <c r="AJ23" s="52">
        <f>SUM(AJ5:AJ22)</f>
        <v>32872.538461538461</v>
      </c>
      <c r="AK23" s="52">
        <f>SUM(AK5:AK22)</f>
        <v>5480.7692307692305</v>
      </c>
      <c r="AL23" s="52">
        <f>SUM(AL5:AL22)</f>
        <v>1449.0865384615383</v>
      </c>
      <c r="AM23" s="52">
        <f>SUM(AM5:AM22)</f>
        <v>38353.307692307688</v>
      </c>
      <c r="AN23" s="53">
        <f>SUM(AN5:AN22)</f>
        <v>39802.394230769227</v>
      </c>
      <c r="AR23" s="52">
        <f>SUM(AR5:AR22)</f>
        <v>37500</v>
      </c>
      <c r="AS23" s="52">
        <f>SUM(AS5:AS22)</f>
        <v>5900.0480769230762</v>
      </c>
      <c r="AT23" s="53">
        <f>SUM(AT5:AT22)</f>
        <v>43400.048076923078</v>
      </c>
      <c r="AV23" s="52">
        <f>SUM(AV5:AV22)</f>
        <v>13461.538461538461</v>
      </c>
      <c r="AW23" s="52">
        <f>SUM(AW5:AW22)</f>
        <v>5480.7692307692305</v>
      </c>
      <c r="AX23" s="53">
        <f>SUM(AX5:AX22)</f>
        <v>18942.307692307691</v>
      </c>
    </row>
  </sheetData>
  <mergeCells count="5">
    <mergeCell ref="B3:P3"/>
    <mergeCell ref="AV3:AX3"/>
    <mergeCell ref="AP3:AT3"/>
    <mergeCell ref="AJ3:AN3"/>
    <mergeCell ref="Q3:AH3"/>
  </mergeCells>
  <phoneticPr fontId="0" type="noConversion"/>
  <dataValidations count="5">
    <dataValidation type="list" allowBlank="1" showInputMessage="1" showErrorMessage="1" sqref="D5:D22">
      <formula1>Coverage</formula1>
    </dataValidation>
    <dataValidation type="list" allowBlank="1" showInputMessage="1" showErrorMessage="1" sqref="C5:C22">
      <formula1>Carrier</formula1>
    </dataValidation>
    <dataValidation type="list" allowBlank="1" showInputMessage="1" showErrorMessage="1" sqref="I5:I22">
      <formula1>VSDP</formula1>
    </dataValidation>
    <dataValidation type="list" allowBlank="1" showInputMessage="1" showErrorMessage="1" sqref="G5:G22">
      <formula1>Age</formula1>
    </dataValidation>
    <dataValidation type="list" allowBlank="1" showInputMessage="1" showErrorMessage="1" sqref="H5:H22">
      <formula1>VESTED</formula1>
    </dataValidation>
  </dataValidations>
  <pageMargins left="0.31" right="0.27" top="0.52" bottom="0.5" header="0.28999999999999998" footer="0.26"/>
  <pageSetup scale="75" pageOrder="overThenDown" orientation="landscape" r:id="rId1"/>
  <headerFooter alignWithMargins="0">
    <oddHeader>&amp;R&amp;"Arial,Italic"&amp;14Confidential</oddHeader>
    <oddFooter>&amp;L&amp;D &amp;T&amp;RPage&amp;P of &amp;N</oddFooter>
  </headerFooter>
  <colBreaks count="1" manualBreakCount="1">
    <brk id="3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B34" sqref="B34"/>
    </sheetView>
  </sheetViews>
  <sheetFormatPr defaultColWidth="9.140625" defaultRowHeight="12.75" x14ac:dyDescent="0.2"/>
  <cols>
    <col min="1" max="16384" width="9.140625" style="58"/>
  </cols>
  <sheetData/>
  <phoneticPr fontId="0"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69"/>
  <sheetViews>
    <sheetView workbookViewId="0">
      <selection activeCell="A13" sqref="A13"/>
    </sheetView>
  </sheetViews>
  <sheetFormatPr defaultRowHeight="12.75" x14ac:dyDescent="0.2"/>
  <cols>
    <col min="1" max="1" width="22.140625" customWidth="1"/>
    <col min="2" max="2" width="16" customWidth="1"/>
    <col min="3" max="3" width="14.7109375" customWidth="1"/>
    <col min="4" max="4" width="13.5703125" customWidth="1"/>
    <col min="7" max="7" width="10.85546875" customWidth="1"/>
  </cols>
  <sheetData>
    <row r="1" spans="1:8" x14ac:dyDescent="0.2">
      <c r="A1" s="104" t="s">
        <v>68</v>
      </c>
    </row>
    <row r="3" spans="1:8" x14ac:dyDescent="0.2">
      <c r="A3" s="1" t="s">
        <v>57</v>
      </c>
    </row>
    <row r="4" spans="1:8" ht="3.75" customHeight="1" thickBot="1" x14ac:dyDescent="0.25"/>
    <row r="5" spans="1:8" ht="41.25" customHeight="1" thickBot="1" x14ac:dyDescent="0.25">
      <c r="A5" s="80" t="s">
        <v>93</v>
      </c>
      <c r="B5" s="81" t="s">
        <v>58</v>
      </c>
      <c r="C5" s="81" t="s">
        <v>59</v>
      </c>
      <c r="D5" s="82" t="s">
        <v>60</v>
      </c>
    </row>
    <row r="6" spans="1:8" x14ac:dyDescent="0.2">
      <c r="A6" s="83" t="s">
        <v>61</v>
      </c>
      <c r="B6" s="84">
        <v>4</v>
      </c>
      <c r="C6" s="84">
        <v>0</v>
      </c>
      <c r="D6" s="88"/>
    </row>
    <row r="7" spans="1:8" ht="25.5" x14ac:dyDescent="0.2">
      <c r="A7" s="85" t="s">
        <v>62</v>
      </c>
      <c r="B7" s="79">
        <v>4</v>
      </c>
      <c r="C7" s="79">
        <v>1</v>
      </c>
      <c r="D7" s="89" t="s">
        <v>63</v>
      </c>
    </row>
    <row r="8" spans="1:8" ht="25.5" x14ac:dyDescent="0.2">
      <c r="A8" s="85" t="s">
        <v>64</v>
      </c>
      <c r="B8" s="79">
        <v>12</v>
      </c>
      <c r="C8" s="79">
        <v>2</v>
      </c>
      <c r="D8" s="89" t="s">
        <v>65</v>
      </c>
    </row>
    <row r="9" spans="1:8" ht="29.25" customHeight="1" thickBot="1" x14ac:dyDescent="0.25">
      <c r="A9" s="77" t="s">
        <v>66</v>
      </c>
      <c r="B9" s="78">
        <v>0</v>
      </c>
      <c r="C9" s="78">
        <v>2</v>
      </c>
      <c r="D9" s="86" t="s">
        <v>67</v>
      </c>
    </row>
    <row r="11" spans="1:8" x14ac:dyDescent="0.2">
      <c r="A11" s="87" t="s">
        <v>110</v>
      </c>
    </row>
    <row r="12" spans="1:8" ht="4.5" customHeight="1" thickBot="1" x14ac:dyDescent="0.25"/>
    <row r="13" spans="1:8" ht="38.25" x14ac:dyDescent="0.2">
      <c r="A13" s="91" t="s">
        <v>112</v>
      </c>
      <c r="B13" s="92" t="s">
        <v>111</v>
      </c>
      <c r="C13" s="92" t="s">
        <v>103</v>
      </c>
      <c r="D13" s="93" t="s">
        <v>14</v>
      </c>
      <c r="E13" s="90"/>
    </row>
    <row r="14" spans="1:8" x14ac:dyDescent="0.2">
      <c r="A14" s="94" t="s">
        <v>8</v>
      </c>
      <c r="B14" s="100">
        <f>Rates!$C$6</f>
        <v>7140</v>
      </c>
      <c r="C14" s="137">
        <f>Rates!$C$7</f>
        <v>6132</v>
      </c>
      <c r="D14" s="101">
        <f>Rates!$C$9</f>
        <v>6360</v>
      </c>
      <c r="G14" s="132"/>
      <c r="H14" s="131"/>
    </row>
    <row r="15" spans="1:8" x14ac:dyDescent="0.2">
      <c r="A15" s="94" t="s">
        <v>9</v>
      </c>
      <c r="B15" s="100">
        <f>Rates!$D$6</f>
        <v>12792</v>
      </c>
      <c r="C15" s="137">
        <f>Rates!$D$7</f>
        <v>11388</v>
      </c>
      <c r="D15" s="101">
        <f>Rates!$D$9</f>
        <v>11292</v>
      </c>
      <c r="G15" s="130"/>
      <c r="H15" s="131"/>
    </row>
    <row r="16" spans="1:8" x14ac:dyDescent="0.2">
      <c r="A16" s="94" t="s">
        <v>10</v>
      </c>
      <c r="B16" s="100">
        <f>Rates!$E$6</f>
        <v>18756</v>
      </c>
      <c r="C16" s="137">
        <f>Rates!$E$7</f>
        <v>16644</v>
      </c>
      <c r="D16" s="101">
        <f>Rates!$E$9</f>
        <v>16500</v>
      </c>
      <c r="G16" s="130"/>
      <c r="H16" s="131"/>
    </row>
    <row r="17" spans="1:4" ht="13.5" thickBot="1" x14ac:dyDescent="0.25">
      <c r="A17" s="95" t="s">
        <v>11</v>
      </c>
      <c r="B17" s="102">
        <f>Rates!$F$6</f>
        <v>0</v>
      </c>
      <c r="C17" s="138">
        <v>0</v>
      </c>
      <c r="D17" s="103">
        <v>0</v>
      </c>
    </row>
    <row r="19" spans="1:4" x14ac:dyDescent="0.2">
      <c r="A19" s="87" t="s">
        <v>69</v>
      </c>
    </row>
    <row r="20" spans="1:4" ht="6" customHeight="1" x14ac:dyDescent="0.2"/>
    <row r="21" spans="1:4" x14ac:dyDescent="0.2">
      <c r="A21" t="str">
        <f>"The rate assumed for group life is " &amp;Rates!F2 * 100  &amp; " percent of salary."</f>
        <v>The rate assumed for group life is 1.31 percent of salary.</v>
      </c>
    </row>
    <row r="23" spans="1:4" x14ac:dyDescent="0.2">
      <c r="A23" s="87" t="s">
        <v>70</v>
      </c>
    </row>
    <row r="24" spans="1:4" ht="6" customHeight="1" x14ac:dyDescent="0.2"/>
    <row r="25" spans="1:4" ht="14.25" customHeight="1" x14ac:dyDescent="0.2">
      <c r="A25" t="s">
        <v>76</v>
      </c>
    </row>
    <row r="26" spans="1:4" ht="6" customHeight="1" x14ac:dyDescent="0.2"/>
    <row r="27" spans="1:4" x14ac:dyDescent="0.2">
      <c r="A27" s="98" t="s">
        <v>71</v>
      </c>
    </row>
    <row r="28" spans="1:4" ht="3.75" customHeight="1" x14ac:dyDescent="0.2">
      <c r="A28" s="96"/>
    </row>
    <row r="29" spans="1:4" x14ac:dyDescent="0.2">
      <c r="A29" t="s">
        <v>77</v>
      </c>
    </row>
    <row r="30" spans="1:4" ht="6" customHeight="1" x14ac:dyDescent="0.2"/>
    <row r="31" spans="1:4" x14ac:dyDescent="0.2">
      <c r="A31" s="97" t="s">
        <v>75</v>
      </c>
    </row>
    <row r="32" spans="1:4" x14ac:dyDescent="0.2">
      <c r="A32" s="97" t="s">
        <v>72</v>
      </c>
    </row>
    <row r="33" spans="1:1" x14ac:dyDescent="0.2">
      <c r="A33" s="97" t="s">
        <v>73</v>
      </c>
    </row>
    <row r="34" spans="1:1" x14ac:dyDescent="0.2">
      <c r="A34" s="97" t="s">
        <v>74</v>
      </c>
    </row>
    <row r="36" spans="1:1" x14ac:dyDescent="0.2">
      <c r="A36" s="98" t="s">
        <v>80</v>
      </c>
    </row>
    <row r="37" spans="1:1" ht="9.75" customHeight="1" x14ac:dyDescent="0.2"/>
    <row r="38" spans="1:1" x14ac:dyDescent="0.2">
      <c r="A38" t="s">
        <v>82</v>
      </c>
    </row>
    <row r="40" spans="1:1" x14ac:dyDescent="0.2">
      <c r="A40" s="99" t="s">
        <v>81</v>
      </c>
    </row>
    <row r="41" spans="1:1" x14ac:dyDescent="0.2">
      <c r="A41" s="99" t="s">
        <v>78</v>
      </c>
    </row>
    <row r="42" spans="1:1" x14ac:dyDescent="0.2">
      <c r="A42" s="99" t="s">
        <v>79</v>
      </c>
    </row>
    <row r="43" spans="1:1" x14ac:dyDescent="0.2">
      <c r="A43" s="99" t="s">
        <v>83</v>
      </c>
    </row>
    <row r="44" spans="1:1" x14ac:dyDescent="0.2">
      <c r="A44" t="s">
        <v>84</v>
      </c>
    </row>
    <row r="46" spans="1:1" x14ac:dyDescent="0.2">
      <c r="A46" s="98" t="s">
        <v>85</v>
      </c>
    </row>
    <row r="47" spans="1:1" ht="4.5" customHeight="1" x14ac:dyDescent="0.2"/>
    <row r="48" spans="1:1" x14ac:dyDescent="0.2">
      <c r="A48" t="s">
        <v>86</v>
      </c>
    </row>
    <row r="50" spans="1:1" x14ac:dyDescent="0.2">
      <c r="A50" s="1" t="s">
        <v>104</v>
      </c>
    </row>
    <row r="51" spans="1:1" ht="4.5" customHeight="1" x14ac:dyDescent="0.2"/>
    <row r="52" spans="1:1" x14ac:dyDescent="0.2">
      <c r="A52" t="s">
        <v>105</v>
      </c>
    </row>
    <row r="53" spans="1:1" ht="3" customHeight="1" x14ac:dyDescent="0.2"/>
    <row r="54" spans="1:1" x14ac:dyDescent="0.2">
      <c r="A54" t="s">
        <v>106</v>
      </c>
    </row>
    <row r="57" spans="1:1" x14ac:dyDescent="0.2">
      <c r="A57" s="104" t="s">
        <v>87</v>
      </c>
    </row>
    <row r="59" spans="1:1" x14ac:dyDescent="0.2">
      <c r="A59" t="s">
        <v>89</v>
      </c>
    </row>
    <row r="61" spans="1:1" x14ac:dyDescent="0.2">
      <c r="A61" t="s">
        <v>88</v>
      </c>
    </row>
    <row r="63" spans="1:1" x14ac:dyDescent="0.2">
      <c r="A63" t="s">
        <v>107</v>
      </c>
    </row>
    <row r="65" spans="1:1" x14ac:dyDescent="0.2">
      <c r="A65" t="s">
        <v>90</v>
      </c>
    </row>
    <row r="67" spans="1:1" x14ac:dyDescent="0.2">
      <c r="A67" t="s">
        <v>92</v>
      </c>
    </row>
    <row r="69" spans="1:1" x14ac:dyDescent="0.2">
      <c r="A69" t="s">
        <v>91</v>
      </c>
    </row>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J23"/>
  <sheetViews>
    <sheetView workbookViewId="0">
      <selection activeCell="C2" sqref="C2"/>
    </sheetView>
  </sheetViews>
  <sheetFormatPr defaultRowHeight="12.75" x14ac:dyDescent="0.2"/>
  <cols>
    <col min="2" max="2" width="19.140625" bestFit="1" customWidth="1"/>
    <col min="3" max="3" width="12.140625" bestFit="1" customWidth="1"/>
    <col min="4" max="4" width="14" bestFit="1" customWidth="1"/>
    <col min="5" max="5" width="16" bestFit="1" customWidth="1"/>
    <col min="6" max="6" width="17" bestFit="1" customWidth="1"/>
    <col min="7" max="7" width="17" customWidth="1"/>
    <col min="8" max="8" width="12" bestFit="1" customWidth="1"/>
    <col min="9" max="9" width="17.42578125" bestFit="1" customWidth="1"/>
  </cols>
  <sheetData>
    <row r="1" spans="2:10" ht="13.5" thickBot="1" x14ac:dyDescent="0.25"/>
    <row r="2" spans="2:10" ht="13.5" thickBot="1" x14ac:dyDescent="0.25">
      <c r="B2" s="3"/>
      <c r="C2" s="4"/>
      <c r="E2" s="5" t="s">
        <v>12</v>
      </c>
      <c r="F2" s="6">
        <v>1.3100000000000001E-2</v>
      </c>
      <c r="G2" s="62"/>
    </row>
    <row r="3" spans="2:10" x14ac:dyDescent="0.2">
      <c r="D3" s="2"/>
    </row>
    <row r="4" spans="2:10" x14ac:dyDescent="0.2">
      <c r="B4" s="1" t="s">
        <v>109</v>
      </c>
    </row>
    <row r="5" spans="2:10" x14ac:dyDescent="0.2">
      <c r="C5" s="3" t="s">
        <v>8</v>
      </c>
      <c r="D5" s="3" t="s">
        <v>9</v>
      </c>
      <c r="E5" s="3" t="s">
        <v>10</v>
      </c>
      <c r="F5" s="3" t="s">
        <v>11</v>
      </c>
    </row>
    <row r="6" spans="2:10" x14ac:dyDescent="0.2">
      <c r="B6" s="9" t="s">
        <v>94</v>
      </c>
      <c r="C6" s="100">
        <v>7140</v>
      </c>
      <c r="D6" s="100">
        <v>12792</v>
      </c>
      <c r="E6" s="139">
        <v>18756</v>
      </c>
      <c r="F6" s="133">
        <v>0</v>
      </c>
    </row>
    <row r="7" spans="2:10" x14ac:dyDescent="0.2">
      <c r="B7" s="9" t="s">
        <v>102</v>
      </c>
      <c r="C7" s="100">
        <v>6132</v>
      </c>
      <c r="D7" s="100">
        <v>11388</v>
      </c>
      <c r="E7" s="100">
        <v>16644</v>
      </c>
      <c r="F7" s="133">
        <v>0</v>
      </c>
    </row>
    <row r="8" spans="2:10" x14ac:dyDescent="0.2">
      <c r="B8" s="9" t="s">
        <v>108</v>
      </c>
      <c r="C8" s="100">
        <v>7140</v>
      </c>
      <c r="D8" s="100">
        <v>12792</v>
      </c>
      <c r="E8" s="100">
        <v>18756</v>
      </c>
      <c r="F8" s="133">
        <v>0</v>
      </c>
    </row>
    <row r="9" spans="2:10" x14ac:dyDescent="0.2">
      <c r="B9" s="9" t="s">
        <v>14</v>
      </c>
      <c r="C9" s="100">
        <v>6360</v>
      </c>
      <c r="D9" s="100">
        <v>11292</v>
      </c>
      <c r="E9" s="100">
        <v>16500</v>
      </c>
      <c r="F9" s="133">
        <v>0</v>
      </c>
    </row>
    <row r="10" spans="2:10" x14ac:dyDescent="0.2">
      <c r="B10" s="9" t="s">
        <v>11</v>
      </c>
      <c r="C10" s="133">
        <v>0</v>
      </c>
      <c r="D10" s="133">
        <v>0</v>
      </c>
      <c r="E10" s="133">
        <v>0</v>
      </c>
      <c r="F10" s="133">
        <v>0</v>
      </c>
    </row>
    <row r="13" spans="2:10" x14ac:dyDescent="0.2">
      <c r="B13" s="8"/>
      <c r="C13" s="7"/>
      <c r="D13" s="8"/>
      <c r="E13" s="8"/>
      <c r="F13" s="7"/>
      <c r="G13" s="7"/>
      <c r="H13" s="8"/>
      <c r="I13" s="8"/>
      <c r="J13" s="8"/>
    </row>
    <row r="14" spans="2:10" x14ac:dyDescent="0.2">
      <c r="B14" s="8"/>
      <c r="C14" s="7"/>
      <c r="D14" s="8"/>
      <c r="E14" s="134"/>
      <c r="F14" s="135"/>
      <c r="G14" s="136"/>
      <c r="H14" s="8"/>
      <c r="I14" s="8"/>
      <c r="J14" s="8"/>
    </row>
    <row r="15" spans="2:10" x14ac:dyDescent="0.2">
      <c r="B15" s="11" t="s">
        <v>25</v>
      </c>
      <c r="C15" s="11" t="s">
        <v>34</v>
      </c>
      <c r="D15" s="11" t="s">
        <v>52</v>
      </c>
      <c r="E15" s="134"/>
      <c r="F15" s="135"/>
      <c r="G15" s="136"/>
      <c r="H15" s="8"/>
      <c r="I15" s="8"/>
      <c r="J15" s="8"/>
    </row>
    <row r="16" spans="2:10" x14ac:dyDescent="0.2">
      <c r="B16" s="8" t="s">
        <v>26</v>
      </c>
      <c r="C16" s="8" t="s">
        <v>26</v>
      </c>
      <c r="D16" s="8" t="s">
        <v>26</v>
      </c>
      <c r="E16" s="134"/>
      <c r="F16" s="135"/>
      <c r="G16" s="136"/>
      <c r="H16" s="8"/>
      <c r="I16" s="8"/>
      <c r="J16" s="8"/>
    </row>
    <row r="17" spans="2:10" x14ac:dyDescent="0.2">
      <c r="B17" s="8" t="s">
        <v>27</v>
      </c>
      <c r="C17" s="8" t="s">
        <v>27</v>
      </c>
      <c r="D17" s="8" t="s">
        <v>27</v>
      </c>
      <c r="E17" s="8"/>
      <c r="F17" s="7"/>
      <c r="G17" s="7"/>
      <c r="H17" s="8"/>
      <c r="I17" s="8"/>
      <c r="J17" s="8"/>
    </row>
    <row r="18" spans="2:10" x14ac:dyDescent="0.2">
      <c r="B18" s="8"/>
      <c r="C18" s="7"/>
      <c r="D18" s="8"/>
      <c r="E18" s="8"/>
      <c r="F18" s="7"/>
      <c r="G18" s="7"/>
      <c r="H18" s="8"/>
      <c r="I18" s="8"/>
      <c r="J18" s="8"/>
    </row>
    <row r="21" spans="2:10" x14ac:dyDescent="0.2">
      <c r="E21" s="130"/>
    </row>
    <row r="22" spans="2:10" x14ac:dyDescent="0.2">
      <c r="E22" s="130"/>
    </row>
    <row r="23" spans="2:10" x14ac:dyDescent="0.2">
      <c r="E23" s="130"/>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WTA</vt:lpstr>
      <vt:lpstr>Instructions</vt:lpstr>
      <vt:lpstr>Assumptions</vt:lpstr>
      <vt:lpstr>Rates</vt:lpstr>
      <vt:lpstr>Age</vt:lpstr>
      <vt:lpstr>Carrier</vt:lpstr>
      <vt:lpstr>Coverage</vt:lpstr>
      <vt:lpstr>WTA!Print_Titles</vt:lpstr>
      <vt:lpstr>VESTED</vt:lpstr>
      <vt:lpstr>VSDP</vt:lpstr>
    </vt:vector>
  </TitlesOfParts>
  <Company>dpb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Howe</dc:creator>
  <cp:lastModifiedBy>VITA Program</cp:lastModifiedBy>
  <cp:lastPrinted>2003-04-01T18:17:27Z</cp:lastPrinted>
  <dcterms:created xsi:type="dcterms:W3CDTF">2002-08-28T21:27:51Z</dcterms:created>
  <dcterms:modified xsi:type="dcterms:W3CDTF">2016-08-25T21:01:38Z</dcterms:modified>
</cp:coreProperties>
</file>